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3200" windowHeight="11400"/>
  </bookViews>
  <sheets>
    <sheet name="Приложение №3 к МП" sheetId="36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№3 к МП'!$A$1:$I$404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4" i="36"/>
  <c r="H404"/>
  <c r="G404"/>
  <c r="F404"/>
  <c r="E404"/>
  <c r="D404"/>
  <c r="D403"/>
  <c r="H402"/>
  <c r="G402"/>
  <c r="D402"/>
  <c r="I401"/>
  <c r="I402" s="1"/>
  <c r="H401"/>
  <c r="G401"/>
  <c r="F401"/>
  <c r="F402" s="1"/>
  <c r="E401"/>
  <c r="E402" s="1"/>
  <c r="D401"/>
  <c r="I399"/>
  <c r="G399"/>
  <c r="F399"/>
  <c r="E399"/>
  <c r="D398"/>
  <c r="D397"/>
  <c r="D396"/>
  <c r="H395"/>
  <c r="D394"/>
  <c r="D393"/>
  <c r="D392"/>
  <c r="I390"/>
  <c r="H390"/>
  <c r="G390"/>
  <c r="F390"/>
  <c r="E390"/>
  <c r="D390"/>
  <c r="I389"/>
  <c r="H389"/>
  <c r="G389"/>
  <c r="F389"/>
  <c r="E389"/>
  <c r="D389"/>
  <c r="I388"/>
  <c r="H388"/>
  <c r="G388"/>
  <c r="F388"/>
  <c r="E388"/>
  <c r="D388"/>
  <c r="I387"/>
  <c r="G387"/>
  <c r="F387"/>
  <c r="E387"/>
  <c r="I386"/>
  <c r="H386"/>
  <c r="G386"/>
  <c r="F386"/>
  <c r="E386"/>
  <c r="D386"/>
  <c r="I385"/>
  <c r="I391" s="1"/>
  <c r="H385"/>
  <c r="G385"/>
  <c r="F385"/>
  <c r="E385"/>
  <c r="E391" s="1"/>
  <c r="D385"/>
  <c r="I384"/>
  <c r="H384"/>
  <c r="G384"/>
  <c r="G391" s="1"/>
  <c r="F384"/>
  <c r="E384"/>
  <c r="D384"/>
  <c r="I382"/>
  <c r="H382"/>
  <c r="G382"/>
  <c r="F382"/>
  <c r="E382"/>
  <c r="D381"/>
  <c r="D380"/>
  <c r="D382" s="1"/>
  <c r="I379"/>
  <c r="H379"/>
  <c r="G379"/>
  <c r="F379"/>
  <c r="E379"/>
  <c r="D378"/>
  <c r="D377"/>
  <c r="D379" s="1"/>
  <c r="I376"/>
  <c r="G376"/>
  <c r="F376"/>
  <c r="E376"/>
  <c r="H375"/>
  <c r="D375"/>
  <c r="H374"/>
  <c r="H376" s="1"/>
  <c r="D373"/>
  <c r="I372"/>
  <c r="H372"/>
  <c r="G372"/>
  <c r="F372"/>
  <c r="E372"/>
  <c r="D372"/>
  <c r="D371"/>
  <c r="D370"/>
  <c r="I368"/>
  <c r="H368"/>
  <c r="G368"/>
  <c r="F368"/>
  <c r="E368"/>
  <c r="D368" s="1"/>
  <c r="I367"/>
  <c r="I369" s="1"/>
  <c r="H367"/>
  <c r="H369" s="1"/>
  <c r="G367"/>
  <c r="F367"/>
  <c r="E367"/>
  <c r="I366"/>
  <c r="H366"/>
  <c r="G366"/>
  <c r="G369" s="1"/>
  <c r="F366"/>
  <c r="F369" s="1"/>
  <c r="E366"/>
  <c r="I364"/>
  <c r="H364"/>
  <c r="G364"/>
  <c r="F364"/>
  <c r="E364"/>
  <c r="H363"/>
  <c r="G363"/>
  <c r="D363"/>
  <c r="D364" s="1"/>
  <c r="I362"/>
  <c r="G362"/>
  <c r="F362"/>
  <c r="E362"/>
  <c r="D361"/>
  <c r="H360"/>
  <c r="I359"/>
  <c r="H359"/>
  <c r="G359"/>
  <c r="F359"/>
  <c r="E359"/>
  <c r="D358"/>
  <c r="D359" s="1"/>
  <c r="I357"/>
  <c r="H357"/>
  <c r="G357"/>
  <c r="F357"/>
  <c r="E357"/>
  <c r="D357"/>
  <c r="D356"/>
  <c r="I355"/>
  <c r="H355"/>
  <c r="G355"/>
  <c r="F355"/>
  <c r="E355"/>
  <c r="D354"/>
  <c r="D353"/>
  <c r="D352"/>
  <c r="D336" s="1"/>
  <c r="D351"/>
  <c r="D350"/>
  <c r="I349"/>
  <c r="G349"/>
  <c r="F349"/>
  <c r="E349"/>
  <c r="D348"/>
  <c r="D347"/>
  <c r="D346"/>
  <c r="H345"/>
  <c r="D344"/>
  <c r="D343"/>
  <c r="D342"/>
  <c r="D334" s="1"/>
  <c r="I340"/>
  <c r="H340"/>
  <c r="G340"/>
  <c r="F340"/>
  <c r="E340"/>
  <c r="D340"/>
  <c r="I339"/>
  <c r="H339"/>
  <c r="G339"/>
  <c r="F339"/>
  <c r="E339"/>
  <c r="D339" s="1"/>
  <c r="I338"/>
  <c r="H338"/>
  <c r="G338"/>
  <c r="F338"/>
  <c r="E338"/>
  <c r="D338"/>
  <c r="I337"/>
  <c r="G337"/>
  <c r="F337"/>
  <c r="F341" s="1"/>
  <c r="E337"/>
  <c r="I336"/>
  <c r="H336"/>
  <c r="G336"/>
  <c r="F336"/>
  <c r="E336"/>
  <c r="I335"/>
  <c r="I341" s="1"/>
  <c r="H335"/>
  <c r="G335"/>
  <c r="F335"/>
  <c r="E335"/>
  <c r="E341" s="1"/>
  <c r="I334"/>
  <c r="H334"/>
  <c r="G334"/>
  <c r="G341" s="1"/>
  <c r="F334"/>
  <c r="E334"/>
  <c r="I332"/>
  <c r="H332"/>
  <c r="G332"/>
  <c r="F332"/>
  <c r="E332"/>
  <c r="H331"/>
  <c r="D331"/>
  <c r="D330"/>
  <c r="D332" s="1"/>
  <c r="I329"/>
  <c r="H329"/>
  <c r="G329"/>
  <c r="F329"/>
  <c r="E329"/>
  <c r="D328"/>
  <c r="D327"/>
  <c r="D326"/>
  <c r="D321" s="1"/>
  <c r="D325"/>
  <c r="I323"/>
  <c r="H323"/>
  <c r="G323"/>
  <c r="F323"/>
  <c r="E323"/>
  <c r="I322"/>
  <c r="I162" s="1"/>
  <c r="H322"/>
  <c r="G322"/>
  <c r="F322"/>
  <c r="E322"/>
  <c r="E162" s="1"/>
  <c r="D322"/>
  <c r="I321"/>
  <c r="H321"/>
  <c r="G321"/>
  <c r="G161" s="1"/>
  <c r="F321"/>
  <c r="E321"/>
  <c r="I320"/>
  <c r="I160" s="1"/>
  <c r="H320"/>
  <c r="H324" s="1"/>
  <c r="G320"/>
  <c r="F320"/>
  <c r="F324" s="1"/>
  <c r="E320"/>
  <c r="E160" s="1"/>
  <c r="D320"/>
  <c r="I318"/>
  <c r="H318"/>
  <c r="G318"/>
  <c r="F318"/>
  <c r="E318"/>
  <c r="G317"/>
  <c r="D317" s="1"/>
  <c r="D318" s="1"/>
  <c r="I316"/>
  <c r="H316"/>
  <c r="F316"/>
  <c r="E316"/>
  <c r="G315"/>
  <c r="D315" s="1"/>
  <c r="D316" s="1"/>
  <c r="I314"/>
  <c r="G314"/>
  <c r="F314"/>
  <c r="E314"/>
  <c r="H313"/>
  <c r="G313"/>
  <c r="I312"/>
  <c r="H312"/>
  <c r="G312"/>
  <c r="F312"/>
  <c r="E312"/>
  <c r="D312"/>
  <c r="D311"/>
  <c r="I310"/>
  <c r="H310"/>
  <c r="G310"/>
  <c r="F310"/>
  <c r="E310"/>
  <c r="D309"/>
  <c r="D308"/>
  <c r="D307"/>
  <c r="D310" s="1"/>
  <c r="I306"/>
  <c r="H306"/>
  <c r="G306"/>
  <c r="F306"/>
  <c r="E306"/>
  <c r="D306"/>
  <c r="D305"/>
  <c r="D304"/>
  <c r="D292" s="1"/>
  <c r="I303"/>
  <c r="H303"/>
  <c r="G303"/>
  <c r="F303"/>
  <c r="E303"/>
  <c r="H302"/>
  <c r="D302" s="1"/>
  <c r="D303" s="1"/>
  <c r="H301"/>
  <c r="D301"/>
  <c r="D300"/>
  <c r="D294" s="1"/>
  <c r="D299"/>
  <c r="D298"/>
  <c r="I296"/>
  <c r="G296"/>
  <c r="F296"/>
  <c r="E296"/>
  <c r="I295"/>
  <c r="F295"/>
  <c r="E295"/>
  <c r="I294"/>
  <c r="H294"/>
  <c r="G294"/>
  <c r="F294"/>
  <c r="E294"/>
  <c r="I293"/>
  <c r="I297" s="1"/>
  <c r="H293"/>
  <c r="G293"/>
  <c r="F293"/>
  <c r="E293"/>
  <c r="E297" s="1"/>
  <c r="D293"/>
  <c r="I292"/>
  <c r="H292"/>
  <c r="G292"/>
  <c r="F292"/>
  <c r="F297" s="1"/>
  <c r="E292"/>
  <c r="I290"/>
  <c r="I282" s="1"/>
  <c r="H290"/>
  <c r="H282" s="1"/>
  <c r="G290"/>
  <c r="G282" s="1"/>
  <c r="F290"/>
  <c r="E290"/>
  <c r="E282" s="1"/>
  <c r="D289"/>
  <c r="D288"/>
  <c r="D287"/>
  <c r="D286"/>
  <c r="D278" s="1"/>
  <c r="D285"/>
  <c r="D284"/>
  <c r="D283"/>
  <c r="D290" s="1"/>
  <c r="F282"/>
  <c r="I281"/>
  <c r="H281"/>
  <c r="G281"/>
  <c r="F281"/>
  <c r="E281"/>
  <c r="D281"/>
  <c r="I280"/>
  <c r="H280"/>
  <c r="G280"/>
  <c r="F280"/>
  <c r="E280"/>
  <c r="D280"/>
  <c r="I279"/>
  <c r="H279"/>
  <c r="G279"/>
  <c r="F279"/>
  <c r="E279"/>
  <c r="D279"/>
  <c r="I278"/>
  <c r="H278"/>
  <c r="G278"/>
  <c r="F278"/>
  <c r="E278"/>
  <c r="I277"/>
  <c r="H277"/>
  <c r="G277"/>
  <c r="F277"/>
  <c r="E277"/>
  <c r="D277"/>
  <c r="I276"/>
  <c r="H276"/>
  <c r="G276"/>
  <c r="F276"/>
  <c r="F161" s="1"/>
  <c r="E276"/>
  <c r="D276"/>
  <c r="I275"/>
  <c r="H275"/>
  <c r="G275"/>
  <c r="F275"/>
  <c r="E275"/>
  <c r="D275"/>
  <c r="D282" s="1"/>
  <c r="I273"/>
  <c r="H273"/>
  <c r="G273"/>
  <c r="F273"/>
  <c r="E273"/>
  <c r="D272"/>
  <c r="D271"/>
  <c r="D270"/>
  <c r="D273" s="1"/>
  <c r="I269"/>
  <c r="H269"/>
  <c r="G269"/>
  <c r="F269"/>
  <c r="E269"/>
  <c r="D268"/>
  <c r="D252" s="1"/>
  <c r="D267"/>
  <c r="D269" s="1"/>
  <c r="I266"/>
  <c r="G266"/>
  <c r="F266"/>
  <c r="E266"/>
  <c r="D265"/>
  <c r="D264"/>
  <c r="H263"/>
  <c r="D263" s="1"/>
  <c r="H262"/>
  <c r="D261"/>
  <c r="D260"/>
  <c r="D259"/>
  <c r="I257"/>
  <c r="H257"/>
  <c r="G257"/>
  <c r="F257"/>
  <c r="E257"/>
  <c r="D257"/>
  <c r="I256"/>
  <c r="H256"/>
  <c r="G256"/>
  <c r="F256"/>
  <c r="E256"/>
  <c r="I255"/>
  <c r="H255"/>
  <c r="D255" s="1"/>
  <c r="G255"/>
  <c r="F255"/>
  <c r="E255"/>
  <c r="I254"/>
  <c r="G254"/>
  <c r="F254"/>
  <c r="F258" s="1"/>
  <c r="E254"/>
  <c r="I253"/>
  <c r="H253"/>
  <c r="G253"/>
  <c r="F253"/>
  <c r="E253"/>
  <c r="D253"/>
  <c r="I252"/>
  <c r="I258" s="1"/>
  <c r="H252"/>
  <c r="G252"/>
  <c r="F252"/>
  <c r="E252"/>
  <c r="E258" s="1"/>
  <c r="I251"/>
  <c r="H251"/>
  <c r="G251"/>
  <c r="G258" s="1"/>
  <c r="F251"/>
  <c r="E251"/>
  <c r="D251"/>
  <c r="I249"/>
  <c r="H249"/>
  <c r="F249"/>
  <c r="E249"/>
  <c r="G248"/>
  <c r="G249" s="1"/>
  <c r="D248"/>
  <c r="D249" s="1"/>
  <c r="I247"/>
  <c r="H247"/>
  <c r="F247"/>
  <c r="E247"/>
  <c r="D246"/>
  <c r="G245"/>
  <c r="I244"/>
  <c r="H244"/>
  <c r="G244"/>
  <c r="F244"/>
  <c r="E244"/>
  <c r="G243"/>
  <c r="D243" s="1"/>
  <c r="D242"/>
  <c r="D241"/>
  <c r="D240"/>
  <c r="I239"/>
  <c r="F239"/>
  <c r="E239"/>
  <c r="D238"/>
  <c r="H237"/>
  <c r="H239" s="1"/>
  <c r="G237"/>
  <c r="D237" s="1"/>
  <c r="D236"/>
  <c r="D235"/>
  <c r="D234"/>
  <c r="I233"/>
  <c r="H233"/>
  <c r="G233"/>
  <c r="F233"/>
  <c r="E233"/>
  <c r="D232"/>
  <c r="D231"/>
  <c r="I230"/>
  <c r="H230"/>
  <c r="G230"/>
  <c r="F230"/>
  <c r="E230"/>
  <c r="D229"/>
  <c r="D228"/>
  <c r="I227"/>
  <c r="H227"/>
  <c r="G227"/>
  <c r="F227"/>
  <c r="E227"/>
  <c r="D226"/>
  <c r="D225"/>
  <c r="D227" s="1"/>
  <c r="I224"/>
  <c r="H224"/>
  <c r="G224"/>
  <c r="F224"/>
  <c r="E224"/>
  <c r="D223"/>
  <c r="D222"/>
  <c r="D224" s="1"/>
  <c r="I221"/>
  <c r="H221"/>
  <c r="G221"/>
  <c r="F221"/>
  <c r="E221"/>
  <c r="D220"/>
  <c r="D219"/>
  <c r="I218"/>
  <c r="H218"/>
  <c r="G218"/>
  <c r="F218"/>
  <c r="E218"/>
  <c r="D217"/>
  <c r="D216"/>
  <c r="D215"/>
  <c r="D214"/>
  <c r="D213"/>
  <c r="D218" s="1"/>
  <c r="I212"/>
  <c r="G212"/>
  <c r="F212"/>
  <c r="E212"/>
  <c r="D211"/>
  <c r="D210"/>
  <c r="H209"/>
  <c r="H212" s="1"/>
  <c r="D208"/>
  <c r="D207"/>
  <c r="D171" s="1"/>
  <c r="D206"/>
  <c r="D205"/>
  <c r="I204"/>
  <c r="H204"/>
  <c r="G204"/>
  <c r="F204"/>
  <c r="E204"/>
  <c r="D204"/>
  <c r="D203"/>
  <c r="D202"/>
  <c r="D201"/>
  <c r="I200"/>
  <c r="G200"/>
  <c r="F200"/>
  <c r="E200"/>
  <c r="D199"/>
  <c r="D198"/>
  <c r="D197"/>
  <c r="H196"/>
  <c r="H200" s="1"/>
  <c r="D195"/>
  <c r="D194"/>
  <c r="D193"/>
  <c r="I192"/>
  <c r="G192"/>
  <c r="F192"/>
  <c r="E192"/>
  <c r="D191"/>
  <c r="D175" s="1"/>
  <c r="D190"/>
  <c r="D189"/>
  <c r="H188"/>
  <c r="H192" s="1"/>
  <c r="D188"/>
  <c r="D187"/>
  <c r="D186"/>
  <c r="D185"/>
  <c r="I184"/>
  <c r="G184"/>
  <c r="F184"/>
  <c r="E184"/>
  <c r="D183"/>
  <c r="H182"/>
  <c r="D182"/>
  <c r="D174" s="1"/>
  <c r="I181"/>
  <c r="I173" s="1"/>
  <c r="I164" s="1"/>
  <c r="H181"/>
  <c r="D181" s="1"/>
  <c r="H180"/>
  <c r="D179"/>
  <c r="D178"/>
  <c r="D177"/>
  <c r="D169" s="1"/>
  <c r="F176"/>
  <c r="I175"/>
  <c r="H175"/>
  <c r="H166" s="1"/>
  <c r="G175"/>
  <c r="F175"/>
  <c r="E175"/>
  <c r="I174"/>
  <c r="H174"/>
  <c r="G174"/>
  <c r="F174"/>
  <c r="E174"/>
  <c r="H173"/>
  <c r="G173"/>
  <c r="F173"/>
  <c r="E173"/>
  <c r="I172"/>
  <c r="F172"/>
  <c r="E172"/>
  <c r="I171"/>
  <c r="H171"/>
  <c r="G171"/>
  <c r="F171"/>
  <c r="E171"/>
  <c r="I170"/>
  <c r="I176" s="1"/>
  <c r="H170"/>
  <c r="G170"/>
  <c r="F170"/>
  <c r="E170"/>
  <c r="E176" s="1"/>
  <c r="I169"/>
  <c r="H169"/>
  <c r="G169"/>
  <c r="F169"/>
  <c r="E169"/>
  <c r="I166"/>
  <c r="G166"/>
  <c r="D166" s="1"/>
  <c r="F166"/>
  <c r="E166"/>
  <c r="I165"/>
  <c r="H165"/>
  <c r="G165"/>
  <c r="E165"/>
  <c r="G164"/>
  <c r="F164"/>
  <c r="E164"/>
  <c r="I163"/>
  <c r="E163"/>
  <c r="H162"/>
  <c r="G162"/>
  <c r="F162"/>
  <c r="D162"/>
  <c r="I161"/>
  <c r="H161"/>
  <c r="E161"/>
  <c r="H160"/>
  <c r="G160"/>
  <c r="D160" s="1"/>
  <c r="F160"/>
  <c r="I158"/>
  <c r="H158"/>
  <c r="G158"/>
  <c r="F158"/>
  <c r="E158"/>
  <c r="D158"/>
  <c r="D157"/>
  <c r="I156"/>
  <c r="H156"/>
  <c r="G156"/>
  <c r="H155"/>
  <c r="G155"/>
  <c r="F155"/>
  <c r="F156" s="1"/>
  <c r="E155"/>
  <c r="E156" s="1"/>
  <c r="D155"/>
  <c r="D156" s="1"/>
  <c r="I154"/>
  <c r="G154"/>
  <c r="F154"/>
  <c r="E154"/>
  <c r="H153"/>
  <c r="H154" s="1"/>
  <c r="D152"/>
  <c r="D151"/>
  <c r="D147" s="1"/>
  <c r="I150"/>
  <c r="I149"/>
  <c r="G149"/>
  <c r="F149"/>
  <c r="E149"/>
  <c r="I148"/>
  <c r="H148"/>
  <c r="G148"/>
  <c r="F148"/>
  <c r="F150" s="1"/>
  <c r="E148"/>
  <c r="D148"/>
  <c r="H147"/>
  <c r="G147"/>
  <c r="G150" s="1"/>
  <c r="F147"/>
  <c r="E147"/>
  <c r="I146"/>
  <c r="H146"/>
  <c r="G146"/>
  <c r="F146"/>
  <c r="E146"/>
  <c r="D146"/>
  <c r="D145"/>
  <c r="D144"/>
  <c r="H143"/>
  <c r="I142"/>
  <c r="I130" s="1"/>
  <c r="H142"/>
  <c r="G142"/>
  <c r="G130" s="1"/>
  <c r="F142"/>
  <c r="F130" s="1"/>
  <c r="E142"/>
  <c r="H141"/>
  <c r="G141"/>
  <c r="G143" s="1"/>
  <c r="F141"/>
  <c r="F143" s="1"/>
  <c r="E141"/>
  <c r="D141"/>
  <c r="I140"/>
  <c r="H140"/>
  <c r="E140"/>
  <c r="G139"/>
  <c r="G140" s="1"/>
  <c r="F139"/>
  <c r="D139" s="1"/>
  <c r="D133" s="1"/>
  <c r="D138"/>
  <c r="D140" s="1"/>
  <c r="I137"/>
  <c r="H137"/>
  <c r="G137"/>
  <c r="F137"/>
  <c r="E137"/>
  <c r="D136"/>
  <c r="D135"/>
  <c r="D137" s="1"/>
  <c r="I133"/>
  <c r="H133"/>
  <c r="G133"/>
  <c r="F133"/>
  <c r="F129" s="1"/>
  <c r="E133"/>
  <c r="E129" s="1"/>
  <c r="I132"/>
  <c r="H132"/>
  <c r="H128" s="1"/>
  <c r="G132"/>
  <c r="G128" s="1"/>
  <c r="F132"/>
  <c r="E132"/>
  <c r="D132"/>
  <c r="D134" s="1"/>
  <c r="I129"/>
  <c r="I131" s="1"/>
  <c r="G129"/>
  <c r="I128"/>
  <c r="I127"/>
  <c r="H127"/>
  <c r="G127"/>
  <c r="F127"/>
  <c r="E127"/>
  <c r="D127"/>
  <c r="D126"/>
  <c r="D125"/>
  <c r="D122" s="1"/>
  <c r="D124" s="1"/>
  <c r="I124"/>
  <c r="H124"/>
  <c r="I123"/>
  <c r="H123"/>
  <c r="H110" s="1"/>
  <c r="G123"/>
  <c r="G110" s="1"/>
  <c r="F123"/>
  <c r="D123" s="1"/>
  <c r="E123"/>
  <c r="I122"/>
  <c r="H122"/>
  <c r="G122"/>
  <c r="G124" s="1"/>
  <c r="F122"/>
  <c r="F109" s="1"/>
  <c r="E122"/>
  <c r="E124" s="1"/>
  <c r="I121"/>
  <c r="G121"/>
  <c r="F121"/>
  <c r="E121"/>
  <c r="D120"/>
  <c r="H119"/>
  <c r="D118"/>
  <c r="D113" s="1"/>
  <c r="D107" s="1"/>
  <c r="D117"/>
  <c r="D112" s="1"/>
  <c r="G116"/>
  <c r="F116"/>
  <c r="I115"/>
  <c r="H115"/>
  <c r="H109" s="1"/>
  <c r="G115"/>
  <c r="G109" s="1"/>
  <c r="G19" s="1"/>
  <c r="F115"/>
  <c r="E115"/>
  <c r="D115"/>
  <c r="I114"/>
  <c r="I108" s="1"/>
  <c r="G114"/>
  <c r="F114"/>
  <c r="E114"/>
  <c r="I113"/>
  <c r="I107" s="1"/>
  <c r="H113"/>
  <c r="G113"/>
  <c r="F113"/>
  <c r="E113"/>
  <c r="E107" s="1"/>
  <c r="I112"/>
  <c r="I116" s="1"/>
  <c r="H112"/>
  <c r="G112"/>
  <c r="G106" s="1"/>
  <c r="F112"/>
  <c r="E112"/>
  <c r="E106" s="1"/>
  <c r="I110"/>
  <c r="I20" s="1"/>
  <c r="F110"/>
  <c r="E110"/>
  <c r="I109"/>
  <c r="G108"/>
  <c r="F108"/>
  <c r="E108"/>
  <c r="H107"/>
  <c r="G107"/>
  <c r="F107"/>
  <c r="I106"/>
  <c r="I16" s="1"/>
  <c r="H106"/>
  <c r="F106"/>
  <c r="I105"/>
  <c r="H105"/>
  <c r="G105"/>
  <c r="F105"/>
  <c r="E105"/>
  <c r="D104"/>
  <c r="D103"/>
  <c r="I102"/>
  <c r="G102"/>
  <c r="E102"/>
  <c r="I101"/>
  <c r="H101"/>
  <c r="G101"/>
  <c r="F101"/>
  <c r="E101"/>
  <c r="H100"/>
  <c r="H102" s="1"/>
  <c r="G100"/>
  <c r="F100"/>
  <c r="F102" s="1"/>
  <c r="E100"/>
  <c r="D100"/>
  <c r="I99"/>
  <c r="H99"/>
  <c r="G99"/>
  <c r="F99"/>
  <c r="E99"/>
  <c r="D98"/>
  <c r="D97"/>
  <c r="D99" s="1"/>
  <c r="I96"/>
  <c r="E96"/>
  <c r="I95"/>
  <c r="H95"/>
  <c r="G95"/>
  <c r="F95"/>
  <c r="F96" s="1"/>
  <c r="E95"/>
  <c r="D95"/>
  <c r="H94"/>
  <c r="H96" s="1"/>
  <c r="G94"/>
  <c r="G96" s="1"/>
  <c r="F94"/>
  <c r="E94"/>
  <c r="I93"/>
  <c r="H93"/>
  <c r="G93"/>
  <c r="F93"/>
  <c r="E93"/>
  <c r="D92"/>
  <c r="D91"/>
  <c r="I90"/>
  <c r="H90"/>
  <c r="G90"/>
  <c r="F90"/>
  <c r="E90"/>
  <c r="D89"/>
  <c r="D88"/>
  <c r="I87"/>
  <c r="H87"/>
  <c r="G87"/>
  <c r="F87"/>
  <c r="E87"/>
  <c r="D86"/>
  <c r="D80" s="1"/>
  <c r="D85"/>
  <c r="D87" s="1"/>
  <c r="I84"/>
  <c r="H84"/>
  <c r="G84"/>
  <c r="F84"/>
  <c r="E84"/>
  <c r="D83"/>
  <c r="D82"/>
  <c r="D84" s="1"/>
  <c r="I81"/>
  <c r="I80"/>
  <c r="H80"/>
  <c r="G80"/>
  <c r="F80"/>
  <c r="F59" s="1"/>
  <c r="F15" s="1"/>
  <c r="E80"/>
  <c r="I79"/>
  <c r="H79"/>
  <c r="H81" s="1"/>
  <c r="G79"/>
  <c r="G81" s="1"/>
  <c r="F79"/>
  <c r="F81" s="1"/>
  <c r="E79"/>
  <c r="E81" s="1"/>
  <c r="D79"/>
  <c r="D81" s="1"/>
  <c r="I78"/>
  <c r="H78"/>
  <c r="G78"/>
  <c r="F78"/>
  <c r="E78"/>
  <c r="D77"/>
  <c r="D76"/>
  <c r="D73" s="1"/>
  <c r="D75" s="1"/>
  <c r="I75"/>
  <c r="H75"/>
  <c r="G75"/>
  <c r="F75"/>
  <c r="E75"/>
  <c r="I74"/>
  <c r="H74"/>
  <c r="G74"/>
  <c r="F74"/>
  <c r="E74"/>
  <c r="D74"/>
  <c r="H73"/>
  <c r="G73"/>
  <c r="F73"/>
  <c r="E73"/>
  <c r="I72"/>
  <c r="H72"/>
  <c r="G72"/>
  <c r="F72"/>
  <c r="E72"/>
  <c r="D71"/>
  <c r="D68" s="1"/>
  <c r="D70"/>
  <c r="I69"/>
  <c r="H69"/>
  <c r="G69"/>
  <c r="F69"/>
  <c r="E69"/>
  <c r="I68"/>
  <c r="H68"/>
  <c r="G68"/>
  <c r="F68"/>
  <c r="E68"/>
  <c r="I67"/>
  <c r="I58" s="1"/>
  <c r="H67"/>
  <c r="H58" s="1"/>
  <c r="G67"/>
  <c r="F67"/>
  <c r="E67"/>
  <c r="D67"/>
  <c r="I66"/>
  <c r="H66"/>
  <c r="G66"/>
  <c r="F66"/>
  <c r="E66"/>
  <c r="D65"/>
  <c r="D62" s="1"/>
  <c r="D64"/>
  <c r="F63"/>
  <c r="E63"/>
  <c r="I62"/>
  <c r="I63" s="1"/>
  <c r="H62"/>
  <c r="G62"/>
  <c r="G59" s="1"/>
  <c r="G15" s="1"/>
  <c r="F62"/>
  <c r="E62"/>
  <c r="I61"/>
  <c r="H61"/>
  <c r="H63" s="1"/>
  <c r="G61"/>
  <c r="G63" s="1"/>
  <c r="F61"/>
  <c r="F58" s="1"/>
  <c r="E61"/>
  <c r="I59"/>
  <c r="E59"/>
  <c r="E15" s="1"/>
  <c r="E58"/>
  <c r="E14" s="1"/>
  <c r="I57"/>
  <c r="H57"/>
  <c r="G57"/>
  <c r="F57"/>
  <c r="E57"/>
  <c r="D56"/>
  <c r="D57" s="1"/>
  <c r="I55"/>
  <c r="H55"/>
  <c r="G55"/>
  <c r="F55"/>
  <c r="E55"/>
  <c r="D55"/>
  <c r="D54"/>
  <c r="D53"/>
  <c r="I52"/>
  <c r="H52"/>
  <c r="F52"/>
  <c r="E52"/>
  <c r="D51"/>
  <c r="H50"/>
  <c r="G50"/>
  <c r="G52" s="1"/>
  <c r="D50"/>
  <c r="D52" s="1"/>
  <c r="I48"/>
  <c r="I27" s="1"/>
  <c r="H48"/>
  <c r="G48"/>
  <c r="F48"/>
  <c r="F49" s="1"/>
  <c r="E48"/>
  <c r="E27" s="1"/>
  <c r="I47"/>
  <c r="H47"/>
  <c r="H49" s="1"/>
  <c r="G47"/>
  <c r="G26" s="1"/>
  <c r="F47"/>
  <c r="E47"/>
  <c r="I46"/>
  <c r="H46"/>
  <c r="G46"/>
  <c r="F46"/>
  <c r="E46"/>
  <c r="D45"/>
  <c r="D44"/>
  <c r="D43"/>
  <c r="D42"/>
  <c r="D46" s="1"/>
  <c r="D41"/>
  <c r="I40"/>
  <c r="H40"/>
  <c r="G40"/>
  <c r="D39"/>
  <c r="G38"/>
  <c r="F38"/>
  <c r="F40" s="1"/>
  <c r="E38"/>
  <c r="D38" s="1"/>
  <c r="D40" s="1"/>
  <c r="D37"/>
  <c r="D36"/>
  <c r="I34"/>
  <c r="I33"/>
  <c r="H33"/>
  <c r="G33"/>
  <c r="F33"/>
  <c r="D33" s="1"/>
  <c r="E33"/>
  <c r="I32"/>
  <c r="H32"/>
  <c r="H26" s="1"/>
  <c r="G32"/>
  <c r="I31"/>
  <c r="H31"/>
  <c r="G31"/>
  <c r="F31"/>
  <c r="D31" s="1"/>
  <c r="D25" s="1"/>
  <c r="E31"/>
  <c r="I30"/>
  <c r="H30"/>
  <c r="H34" s="1"/>
  <c r="G30"/>
  <c r="F30"/>
  <c r="E30"/>
  <c r="D30"/>
  <c r="I29"/>
  <c r="H29"/>
  <c r="G29"/>
  <c r="G34" s="1"/>
  <c r="F29"/>
  <c r="E29"/>
  <c r="D29"/>
  <c r="H27"/>
  <c r="G27"/>
  <c r="G18" s="1"/>
  <c r="I26"/>
  <c r="I17" s="1"/>
  <c r="I25"/>
  <c r="H25"/>
  <c r="G25"/>
  <c r="F25"/>
  <c r="E25"/>
  <c r="I24"/>
  <c r="I15" s="1"/>
  <c r="H24"/>
  <c r="H28" s="1"/>
  <c r="G24"/>
  <c r="F24"/>
  <c r="E24"/>
  <c r="D24"/>
  <c r="I23"/>
  <c r="H23"/>
  <c r="G23"/>
  <c r="F23"/>
  <c r="E23"/>
  <c r="D23"/>
  <c r="H20"/>
  <c r="G20"/>
  <c r="F20"/>
  <c r="I19"/>
  <c r="H19"/>
  <c r="H14" l="1"/>
  <c r="D102"/>
  <c r="I14"/>
  <c r="I60"/>
  <c r="H111"/>
  <c r="E16"/>
  <c r="G131"/>
  <c r="G16"/>
  <c r="D150"/>
  <c r="D16"/>
  <c r="H16"/>
  <c r="D47"/>
  <c r="D49" s="1"/>
  <c r="D142"/>
  <c r="E130"/>
  <c r="G28"/>
  <c r="I28"/>
  <c r="E32"/>
  <c r="E40"/>
  <c r="E49"/>
  <c r="I49"/>
  <c r="G58"/>
  <c r="E60"/>
  <c r="D94"/>
  <c r="D96" s="1"/>
  <c r="E109"/>
  <c r="G111"/>
  <c r="D128"/>
  <c r="G134"/>
  <c r="E128"/>
  <c r="E131" s="1"/>
  <c r="E150"/>
  <c r="D161"/>
  <c r="I167"/>
  <c r="D345"/>
  <c r="D349" s="1"/>
  <c r="H337"/>
  <c r="D337" s="1"/>
  <c r="H349"/>
  <c r="D367"/>
  <c r="E369"/>
  <c r="F391"/>
  <c r="D66"/>
  <c r="D61"/>
  <c r="F140"/>
  <c r="I143"/>
  <c r="F27"/>
  <c r="F18" s="1"/>
  <c r="F32"/>
  <c r="F26" s="1"/>
  <c r="F17" s="1"/>
  <c r="D48"/>
  <c r="G49"/>
  <c r="F60"/>
  <c r="H59"/>
  <c r="H60" s="1"/>
  <c r="D72"/>
  <c r="D69" s="1"/>
  <c r="D78"/>
  <c r="F111"/>
  <c r="I111"/>
  <c r="F134"/>
  <c r="F128"/>
  <c r="H129"/>
  <c r="D129" s="1"/>
  <c r="H134"/>
  <c r="E143"/>
  <c r="F163"/>
  <c r="F165"/>
  <c r="F19" s="1"/>
  <c r="I324"/>
  <c r="D360"/>
  <c r="D362" s="1"/>
  <c r="H362"/>
  <c r="D110"/>
  <c r="E20"/>
  <c r="D20" s="1"/>
  <c r="D119"/>
  <c r="D114" s="1"/>
  <c r="D108" s="1"/>
  <c r="H114"/>
  <c r="H108" s="1"/>
  <c r="H121"/>
  <c r="D254"/>
  <c r="F14"/>
  <c r="E18"/>
  <c r="I18"/>
  <c r="D90"/>
  <c r="D101"/>
  <c r="D59" s="1"/>
  <c r="D15" s="1"/>
  <c r="D105"/>
  <c r="E116"/>
  <c r="H149"/>
  <c r="D153"/>
  <c r="D149" s="1"/>
  <c r="D165"/>
  <c r="E167"/>
  <c r="H184"/>
  <c r="D180"/>
  <c r="H172"/>
  <c r="H163" s="1"/>
  <c r="D230"/>
  <c r="D245"/>
  <c r="D247" s="1"/>
  <c r="G247"/>
  <c r="D258"/>
  <c r="H295"/>
  <c r="H297" s="1"/>
  <c r="H314"/>
  <c r="G316"/>
  <c r="G324"/>
  <c r="D329"/>
  <c r="D192"/>
  <c r="D212"/>
  <c r="D239"/>
  <c r="D262"/>
  <c r="H254"/>
  <c r="H258" s="1"/>
  <c r="H266"/>
  <c r="D296"/>
  <c r="D323"/>
  <c r="D324" s="1"/>
  <c r="H391"/>
  <c r="D395"/>
  <c r="H387"/>
  <c r="H399"/>
  <c r="D93"/>
  <c r="D106"/>
  <c r="F124"/>
  <c r="E134"/>
  <c r="I134"/>
  <c r="D154"/>
  <c r="G176"/>
  <c r="D170"/>
  <c r="D221"/>
  <c r="D233"/>
  <c r="D244"/>
  <c r="D256"/>
  <c r="D266"/>
  <c r="D313"/>
  <c r="D314" s="1"/>
  <c r="E324"/>
  <c r="D355"/>
  <c r="D366"/>
  <c r="D369" s="1"/>
  <c r="G172"/>
  <c r="G239"/>
  <c r="H296"/>
  <c r="H164" s="1"/>
  <c r="D164" s="1"/>
  <c r="D196"/>
  <c r="D200" s="1"/>
  <c r="D209"/>
  <c r="D173" s="1"/>
  <c r="G295"/>
  <c r="G297" s="1"/>
  <c r="D335"/>
  <c r="D341" s="1"/>
  <c r="D374"/>
  <c r="D376" s="1"/>
  <c r="H167" l="1"/>
  <c r="H176"/>
  <c r="D295"/>
  <c r="D297" s="1"/>
  <c r="D172"/>
  <c r="D176" s="1"/>
  <c r="D111"/>
  <c r="H341"/>
  <c r="H15"/>
  <c r="G60"/>
  <c r="G14"/>
  <c r="D32"/>
  <c r="E26"/>
  <c r="D27"/>
  <c r="D18" s="1"/>
  <c r="D143"/>
  <c r="D130"/>
  <c r="D121"/>
  <c r="F167"/>
  <c r="F131"/>
  <c r="F16"/>
  <c r="D131"/>
  <c r="F34"/>
  <c r="H17"/>
  <c r="H21" s="1"/>
  <c r="G163"/>
  <c r="D116"/>
  <c r="D387"/>
  <c r="D391" s="1"/>
  <c r="D399"/>
  <c r="H150"/>
  <c r="H130"/>
  <c r="H18" s="1"/>
  <c r="F21"/>
  <c r="H116"/>
  <c r="D184"/>
  <c r="D63"/>
  <c r="D58"/>
  <c r="E19"/>
  <c r="D19" s="1"/>
  <c r="D109"/>
  <c r="E111"/>
  <c r="I21"/>
  <c r="E34"/>
  <c r="F28"/>
  <c r="G17" l="1"/>
  <c r="G21" s="1"/>
  <c r="D163"/>
  <c r="D167" s="1"/>
  <c r="G167"/>
  <c r="E17"/>
  <c r="E21" s="1"/>
  <c r="E28"/>
  <c r="H131"/>
  <c r="D60"/>
  <c r="D14"/>
  <c r="D26"/>
  <c r="D34"/>
  <c r="D17" l="1"/>
  <c r="D28"/>
  <c r="D21"/>
</calcChain>
</file>

<file path=xl/sharedStrings.xml><?xml version="1.0" encoding="utf-8"?>
<sst xmlns="http://schemas.openxmlformats.org/spreadsheetml/2006/main" count="211" uniqueCount="101">
  <si>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</si>
  <si>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</si>
  <si>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</si>
  <si>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</si>
  <si>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</si>
  <si>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</si>
  <si>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</si>
  <si>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</si>
  <si>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</si>
  <si>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</si>
  <si>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</si>
  <si>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</si>
  <si>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</si>
  <si>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</si>
  <si>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</si>
  <si>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</si>
  <si>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</si>
  <si>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</si>
  <si>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</si>
  <si>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</si>
  <si>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</si>
  <si>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</si>
  <si>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</si>
  <si>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</si>
  <si>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</si>
  <si>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</si>
  <si>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</si>
  <si>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</si>
  <si>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</si>
  <si>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</si>
  <si>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</si>
  <si>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</si>
  <si>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</si>
  <si>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</si>
  <si>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</si>
  <si>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</si>
  <si>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</si>
  <si>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</si>
  <si>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</si>
  <si>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</si>
  <si>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</si>
  <si>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</si>
  <si>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</si>
  <si>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</si>
  <si>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</si>
  <si>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</si>
  <si>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</si>
  <si>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</si>
  <si>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</si>
  <si>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</si>
  <si>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</si>
  <si>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</si>
  <si>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</si>
  <si>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</si>
  <si>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</si>
  <si>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</si>
  <si>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</si>
  <si>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</si>
  <si>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</si>
  <si>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</si>
  <si>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</si>
  <si>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</si>
  <si>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</si>
  <si>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</si>
  <si>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</si>
  <si>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</si>
  <si>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</si>
  <si>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</si>
  <si>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</si>
  <si>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</si>
  <si>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</si>
  <si>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</si>
  <si>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</si>
  <si>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</si>
  <si>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</si>
  <si>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</si>
  <si>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</si>
  <si>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</si>
  <si>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</si>
  <si>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</si>
  <si>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</si>
  <si>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</si>
  <si>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</si>
  <si>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</si>
  <si>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</si>
  <si>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</si>
  <si>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</si>
  <si>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Создание комфортной городской среды в малых городах и исторических поселениях -  победителях Всероссийского конкурса лучших проектов создания комфортной городской среды (г. Кингисепп)</t>
  </si>
  <si>
    <t>Региональный проект "Жилье"</t>
  </si>
  <si>
    <t>Обеспечение устойчивого сокращения непригодного для проживания жилищного фонда</t>
  </si>
  <si>
    <t>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</si>
  <si>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</si>
  <si>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(г. Кингисепп)</t>
  </si>
  <si>
    <t>Осуществление части полномочий по организации ритуальных услуг в части создания специализированной службы по вопросам похоронного дела</t>
  </si>
  <si>
    <t>Мероприятия, направленные на содействие развитию жилищно-коммунального хозяйства</t>
  </si>
  <si>
    <t>Муниципальный проект "Создание детских научных игровых площадок"</t>
  </si>
  <si>
    <t>(в редакции постановления администрации</t>
  </si>
  <si>
    <t>МО "Кингисеппский муниципальный район"</t>
  </si>
  <si>
    <t>Комплекс процессных мероприятий «Прочие мероприятия в области жилищно-коммунального хозяйства на территории Кингисеппского городского поселения»</t>
  </si>
  <si>
    <t>(Приложение)</t>
  </si>
  <si>
    <t>от 17.02.2026 № 499)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</si>
</sst>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  <numFmt numFmtId="168" formatCode="#,##0.0"/>
  </numFmts>
  <fonts count="16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4" fontId="2" fillId="0" borderId="0" xfId="4" applyNumberFormat="1" applyFont="1" applyFill="1"/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4" fontId="5" fillId="0" borderId="0" xfId="4" applyNumberFormat="1" applyFont="1" applyFill="1" applyBorder="1"/>
    <xf numFmtId="4" fontId="7" fillId="0" borderId="0" xfId="4" applyNumberFormat="1" applyFont="1" applyFill="1"/>
    <xf numFmtId="4" fontId="5" fillId="0" borderId="0" xfId="4" applyNumberFormat="1" applyFont="1" applyFill="1" applyAlignment="1">
      <alignment wrapText="1"/>
    </xf>
    <xf numFmtId="4" fontId="11" fillId="0" borderId="0" xfId="4" applyNumberFormat="1" applyFont="1" applyFill="1" applyAlignment="1">
      <alignment horizontal="right"/>
    </xf>
    <xf numFmtId="4" fontId="6" fillId="0" borderId="0" xfId="4" applyNumberFormat="1" applyFont="1" applyFill="1" applyBorder="1" applyAlignment="1">
      <alignment horizontal="center" vertical="center" wrapText="1"/>
    </xf>
    <xf numFmtId="4" fontId="2" fillId="0" borderId="0" xfId="4" applyNumberFormat="1" applyFont="1" applyFill="1" applyBorder="1" applyAlignment="1">
      <alignment horizontal="center" vertical="top" wrapText="1"/>
    </xf>
    <xf numFmtId="4" fontId="6" fillId="0" borderId="0" xfId="6" applyNumberFormat="1" applyFont="1" applyFill="1" applyBorder="1" applyAlignment="1">
      <alignment horizontal="center" vertical="center" wrapText="1"/>
    </xf>
    <xf numFmtId="4" fontId="6" fillId="0" borderId="0" xfId="6" applyNumberFormat="1" applyFont="1" applyFill="1" applyBorder="1" applyAlignment="1">
      <alignment horizontal="center" vertical="top" wrapText="1"/>
    </xf>
    <xf numFmtId="4" fontId="2" fillId="0" borderId="0" xfId="6" applyNumberFormat="1" applyFont="1" applyFill="1" applyBorder="1" applyAlignment="1">
      <alignment horizontal="center" vertical="center" wrapText="1"/>
    </xf>
    <xf numFmtId="4" fontId="6" fillId="0" borderId="0" xfId="4" applyNumberFormat="1" applyFont="1" applyFill="1" applyBorder="1" applyAlignment="1">
      <alignment horizontal="left" vertical="center"/>
    </xf>
    <xf numFmtId="4" fontId="6" fillId="0" borderId="0" xfId="4" applyNumberFormat="1" applyFont="1" applyFill="1" applyBorder="1" applyAlignment="1">
      <alignment horizontal="left" vertical="center" wrapText="1"/>
    </xf>
    <xf numFmtId="4" fontId="2" fillId="0" borderId="0" xfId="4" applyNumberFormat="1" applyFont="1" applyFill="1" applyAlignment="1">
      <alignment horizontal="right"/>
    </xf>
    <xf numFmtId="4" fontId="2" fillId="0" borderId="0" xfId="5" applyNumberFormat="1" applyFont="1" applyFill="1" applyAlignment="1" applyProtection="1">
      <alignment horizontal="right"/>
    </xf>
    <xf numFmtId="4" fontId="6" fillId="0" borderId="0" xfId="4" applyNumberFormat="1" applyFont="1" applyFill="1" applyAlignment="1"/>
    <xf numFmtId="4" fontId="6" fillId="0" borderId="0" xfId="4" applyNumberFormat="1" applyFont="1" applyFill="1" applyBorder="1" applyAlignment="1">
      <alignment wrapText="1"/>
    </xf>
    <xf numFmtId="4" fontId="2" fillId="0" borderId="0" xfId="4" applyNumberFormat="1" applyFont="1" applyFill="1" applyAlignment="1">
      <alignment horizontal="center" vertical="center"/>
    </xf>
    <xf numFmtId="0" fontId="2" fillId="0" borderId="0" xfId="4" applyFont="1" applyFill="1"/>
    <xf numFmtId="4" fontId="2" fillId="0" borderId="0" xfId="4" applyNumberFormat="1" applyFont="1" applyFill="1" applyAlignment="1">
      <alignment vertical="center"/>
    </xf>
    <xf numFmtId="4" fontId="12" fillId="0" borderId="0" xfId="4" applyNumberFormat="1" applyFont="1" applyFill="1"/>
    <xf numFmtId="4" fontId="5" fillId="0" borderId="0" xfId="4" applyNumberFormat="1" applyFont="1" applyFill="1" applyAlignment="1">
      <alignment horizontal="center"/>
    </xf>
    <xf numFmtId="4" fontId="2" fillId="0" borderId="0" xfId="4" applyNumberFormat="1" applyFont="1" applyFill="1" applyAlignment="1">
      <alignment horizontal="center"/>
    </xf>
    <xf numFmtId="4" fontId="7" fillId="0" borderId="0" xfId="4" applyNumberFormat="1" applyFont="1" applyFill="1" applyAlignment="1">
      <alignment vertical="center"/>
    </xf>
    <xf numFmtId="4" fontId="5" fillId="0" borderId="0" xfId="4" applyNumberFormat="1" applyFont="1" applyFill="1" applyAlignment="1">
      <alignment horizontal="center" vertical="center"/>
    </xf>
    <xf numFmtId="4" fontId="7" fillId="0" borderId="0" xfId="4" applyNumberFormat="1" applyFont="1" applyFill="1" applyAlignment="1">
      <alignment horizontal="center" vertical="center"/>
    </xf>
    <xf numFmtId="4" fontId="7" fillId="0" borderId="0" xfId="4" applyNumberFormat="1" applyFont="1" applyFill="1" applyAlignment="1">
      <alignment horizontal="center"/>
    </xf>
    <xf numFmtId="4" fontId="5" fillId="0" borderId="0" xfId="4" applyNumberFormat="1" applyFont="1" applyFill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4" fontId="5" fillId="0" borderId="0" xfId="4" applyNumberFormat="1" applyFont="1" applyFill="1" applyAlignment="1">
      <alignment vertical="center"/>
    </xf>
    <xf numFmtId="4" fontId="7" fillId="0" borderId="0" xfId="6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/>
    <xf numFmtId="168" fontId="6" fillId="0" borderId="2" xfId="6" applyNumberFormat="1" applyFont="1" applyFill="1" applyBorder="1" applyAlignment="1">
      <alignment horizontal="center" vertical="center" wrapText="1"/>
    </xf>
    <xf numFmtId="4" fontId="14" fillId="0" borderId="0" xfId="4" applyNumberFormat="1" applyFont="1" applyFill="1"/>
    <xf numFmtId="0" fontId="14" fillId="0" borderId="0" xfId="4" applyFont="1" applyFill="1"/>
    <xf numFmtId="4" fontId="14" fillId="0" borderId="0" xfId="4" applyNumberFormat="1" applyFont="1" applyFill="1" applyAlignment="1">
      <alignment horizontal="center"/>
    </xf>
    <xf numFmtId="0" fontId="15" fillId="0" borderId="0" xfId="4" applyFont="1" applyFill="1"/>
    <xf numFmtId="4" fontId="13" fillId="0" borderId="0" xfId="4" applyNumberFormat="1" applyFont="1" applyFill="1" applyAlignment="1">
      <alignment horizontal="center" vertical="center"/>
    </xf>
    <xf numFmtId="4" fontId="13" fillId="0" borderId="0" xfId="4" applyNumberFormat="1" applyFont="1" applyFill="1" applyAlignment="1">
      <alignment horizontal="center"/>
    </xf>
    <xf numFmtId="4" fontId="15" fillId="0" borderId="0" xfId="6" applyNumberFormat="1" applyFont="1" applyFill="1" applyBorder="1" applyAlignment="1">
      <alignment horizontal="center" vertical="center" wrapText="1"/>
    </xf>
    <xf numFmtId="4" fontId="15" fillId="0" borderId="0" xfId="4" applyNumberFormat="1" applyFont="1" applyFill="1"/>
    <xf numFmtId="4" fontId="2" fillId="0" borderId="0" xfId="6" applyNumberFormat="1" applyFont="1" applyFill="1" applyBorder="1" applyAlignment="1">
      <alignment horizontal="left" vertical="center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11" fillId="0" borderId="0" xfId="4" applyFont="1" applyFill="1" applyAlignment="1">
      <alignment horizontal="right"/>
    </xf>
    <xf numFmtId="0" fontId="6" fillId="0" borderId="3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11" fillId="0" borderId="0" xfId="4" applyFont="1" applyFill="1" applyAlignment="1">
      <alignment horizontal="center"/>
    </xf>
    <xf numFmtId="0" fontId="10" fillId="0" borderId="2" xfId="4" applyFont="1" applyFill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S404"/>
  <sheetViews>
    <sheetView tabSelected="1" view="pageBreakPreview" topLeftCell="A19" zoomScale="90" zoomScaleNormal="90" zoomScaleSheetLayoutView="90" workbookViewId="0">
      <selection activeCell="G9" sqref="G9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20.42578125" style="31" customWidth="1"/>
    <col min="11" max="11" width="17.28515625" style="6" customWidth="1"/>
    <col min="12" max="12" width="25.140625" style="6" customWidth="1"/>
    <col min="13" max="13" width="19.140625" style="6" customWidth="1"/>
    <col min="14" max="14" width="23" style="6" customWidth="1"/>
    <col min="15" max="227" width="9.140625" style="5"/>
    <col min="228" max="228" width="38.5703125" style="5" customWidth="1"/>
    <col min="229" max="229" width="40.140625" style="5" customWidth="1"/>
    <col min="230" max="236" width="14.7109375" style="5" customWidth="1"/>
    <col min="237" max="237" width="17.140625" style="5" customWidth="1"/>
    <col min="238" max="483" width="9.140625" style="5"/>
    <col min="484" max="484" width="38.5703125" style="5" customWidth="1"/>
    <col min="485" max="485" width="40.140625" style="5" customWidth="1"/>
    <col min="486" max="492" width="14.7109375" style="5" customWidth="1"/>
    <col min="493" max="493" width="17.140625" style="5" customWidth="1"/>
    <col min="494" max="739" width="9.140625" style="5"/>
    <col min="740" max="740" width="38.5703125" style="5" customWidth="1"/>
    <col min="741" max="741" width="40.140625" style="5" customWidth="1"/>
    <col min="742" max="748" width="14.7109375" style="5" customWidth="1"/>
    <col min="749" max="749" width="17.140625" style="5" customWidth="1"/>
    <col min="750" max="995" width="9.140625" style="5"/>
    <col min="996" max="996" width="38.5703125" style="5" customWidth="1"/>
    <col min="997" max="997" width="40.140625" style="5" customWidth="1"/>
    <col min="998" max="1004" width="14.7109375" style="5" customWidth="1"/>
    <col min="1005" max="1005" width="17.140625" style="5" customWidth="1"/>
    <col min="1006" max="1251" width="9.140625" style="5"/>
    <col min="1252" max="1252" width="38.5703125" style="5" customWidth="1"/>
    <col min="1253" max="1253" width="40.140625" style="5" customWidth="1"/>
    <col min="1254" max="1260" width="14.7109375" style="5" customWidth="1"/>
    <col min="1261" max="1261" width="17.140625" style="5" customWidth="1"/>
    <col min="1262" max="1507" width="9.140625" style="5"/>
    <col min="1508" max="1508" width="38.5703125" style="5" customWidth="1"/>
    <col min="1509" max="1509" width="40.140625" style="5" customWidth="1"/>
    <col min="1510" max="1516" width="14.7109375" style="5" customWidth="1"/>
    <col min="1517" max="1517" width="17.140625" style="5" customWidth="1"/>
    <col min="1518" max="1763" width="9.140625" style="5"/>
    <col min="1764" max="1764" width="38.5703125" style="5" customWidth="1"/>
    <col min="1765" max="1765" width="40.140625" style="5" customWidth="1"/>
    <col min="1766" max="1772" width="14.7109375" style="5" customWidth="1"/>
    <col min="1773" max="1773" width="17.140625" style="5" customWidth="1"/>
    <col min="1774" max="2019" width="9.140625" style="5"/>
    <col min="2020" max="2020" width="38.5703125" style="5" customWidth="1"/>
    <col min="2021" max="2021" width="40.140625" style="5" customWidth="1"/>
    <col min="2022" max="2028" width="14.7109375" style="5" customWidth="1"/>
    <col min="2029" max="2029" width="17.140625" style="5" customWidth="1"/>
    <col min="2030" max="2275" width="9.140625" style="5"/>
    <col min="2276" max="2276" width="38.5703125" style="5" customWidth="1"/>
    <col min="2277" max="2277" width="40.140625" style="5" customWidth="1"/>
    <col min="2278" max="2284" width="14.7109375" style="5" customWidth="1"/>
    <col min="2285" max="2285" width="17.140625" style="5" customWidth="1"/>
    <col min="2286" max="2531" width="9.140625" style="5"/>
    <col min="2532" max="2532" width="38.5703125" style="5" customWidth="1"/>
    <col min="2533" max="2533" width="40.140625" style="5" customWidth="1"/>
    <col min="2534" max="2540" width="14.7109375" style="5" customWidth="1"/>
    <col min="2541" max="2541" width="17.140625" style="5" customWidth="1"/>
    <col min="2542" max="2787" width="9.140625" style="5"/>
    <col min="2788" max="2788" width="38.5703125" style="5" customWidth="1"/>
    <col min="2789" max="2789" width="40.140625" style="5" customWidth="1"/>
    <col min="2790" max="2796" width="14.7109375" style="5" customWidth="1"/>
    <col min="2797" max="2797" width="17.140625" style="5" customWidth="1"/>
    <col min="2798" max="3043" width="9.140625" style="5"/>
    <col min="3044" max="3044" width="38.5703125" style="5" customWidth="1"/>
    <col min="3045" max="3045" width="40.140625" style="5" customWidth="1"/>
    <col min="3046" max="3052" width="14.7109375" style="5" customWidth="1"/>
    <col min="3053" max="3053" width="17.140625" style="5" customWidth="1"/>
    <col min="3054" max="3299" width="9.140625" style="5"/>
    <col min="3300" max="3300" width="38.5703125" style="5" customWidth="1"/>
    <col min="3301" max="3301" width="40.140625" style="5" customWidth="1"/>
    <col min="3302" max="3308" width="14.7109375" style="5" customWidth="1"/>
    <col min="3309" max="3309" width="17.140625" style="5" customWidth="1"/>
    <col min="3310" max="3555" width="9.140625" style="5"/>
    <col min="3556" max="3556" width="38.5703125" style="5" customWidth="1"/>
    <col min="3557" max="3557" width="40.140625" style="5" customWidth="1"/>
    <col min="3558" max="3564" width="14.7109375" style="5" customWidth="1"/>
    <col min="3565" max="3565" width="17.140625" style="5" customWidth="1"/>
    <col min="3566" max="3811" width="9.140625" style="5"/>
    <col min="3812" max="3812" width="38.5703125" style="5" customWidth="1"/>
    <col min="3813" max="3813" width="40.140625" style="5" customWidth="1"/>
    <col min="3814" max="3820" width="14.7109375" style="5" customWidth="1"/>
    <col min="3821" max="3821" width="17.140625" style="5" customWidth="1"/>
    <col min="3822" max="4067" width="9.140625" style="5"/>
    <col min="4068" max="4068" width="38.5703125" style="5" customWidth="1"/>
    <col min="4069" max="4069" width="40.140625" style="5" customWidth="1"/>
    <col min="4070" max="4076" width="14.7109375" style="5" customWidth="1"/>
    <col min="4077" max="4077" width="17.140625" style="5" customWidth="1"/>
    <col min="4078" max="4323" width="9.140625" style="5"/>
    <col min="4324" max="4324" width="38.5703125" style="5" customWidth="1"/>
    <col min="4325" max="4325" width="40.140625" style="5" customWidth="1"/>
    <col min="4326" max="4332" width="14.7109375" style="5" customWidth="1"/>
    <col min="4333" max="4333" width="17.140625" style="5" customWidth="1"/>
    <col min="4334" max="4579" width="9.140625" style="5"/>
    <col min="4580" max="4580" width="38.5703125" style="5" customWidth="1"/>
    <col min="4581" max="4581" width="40.140625" style="5" customWidth="1"/>
    <col min="4582" max="4588" width="14.7109375" style="5" customWidth="1"/>
    <col min="4589" max="4589" width="17.140625" style="5" customWidth="1"/>
    <col min="4590" max="4835" width="9.140625" style="5"/>
    <col min="4836" max="4836" width="38.5703125" style="5" customWidth="1"/>
    <col min="4837" max="4837" width="40.140625" style="5" customWidth="1"/>
    <col min="4838" max="4844" width="14.7109375" style="5" customWidth="1"/>
    <col min="4845" max="4845" width="17.140625" style="5" customWidth="1"/>
    <col min="4846" max="5091" width="9.140625" style="5"/>
    <col min="5092" max="5092" width="38.5703125" style="5" customWidth="1"/>
    <col min="5093" max="5093" width="40.140625" style="5" customWidth="1"/>
    <col min="5094" max="5100" width="14.7109375" style="5" customWidth="1"/>
    <col min="5101" max="5101" width="17.140625" style="5" customWidth="1"/>
    <col min="5102" max="5347" width="9.140625" style="5"/>
    <col min="5348" max="5348" width="38.5703125" style="5" customWidth="1"/>
    <col min="5349" max="5349" width="40.140625" style="5" customWidth="1"/>
    <col min="5350" max="5356" width="14.7109375" style="5" customWidth="1"/>
    <col min="5357" max="5357" width="17.140625" style="5" customWidth="1"/>
    <col min="5358" max="5603" width="9.140625" style="5"/>
    <col min="5604" max="5604" width="38.5703125" style="5" customWidth="1"/>
    <col min="5605" max="5605" width="40.140625" style="5" customWidth="1"/>
    <col min="5606" max="5612" width="14.7109375" style="5" customWidth="1"/>
    <col min="5613" max="5613" width="17.140625" style="5" customWidth="1"/>
    <col min="5614" max="5859" width="9.140625" style="5"/>
    <col min="5860" max="5860" width="38.5703125" style="5" customWidth="1"/>
    <col min="5861" max="5861" width="40.140625" style="5" customWidth="1"/>
    <col min="5862" max="5868" width="14.7109375" style="5" customWidth="1"/>
    <col min="5869" max="5869" width="17.140625" style="5" customWidth="1"/>
    <col min="5870" max="6115" width="9.140625" style="5"/>
    <col min="6116" max="6116" width="38.5703125" style="5" customWidth="1"/>
    <col min="6117" max="6117" width="40.140625" style="5" customWidth="1"/>
    <col min="6118" max="6124" width="14.7109375" style="5" customWidth="1"/>
    <col min="6125" max="6125" width="17.140625" style="5" customWidth="1"/>
    <col min="6126" max="6371" width="9.140625" style="5"/>
    <col min="6372" max="6372" width="38.5703125" style="5" customWidth="1"/>
    <col min="6373" max="6373" width="40.140625" style="5" customWidth="1"/>
    <col min="6374" max="6380" width="14.7109375" style="5" customWidth="1"/>
    <col min="6381" max="6381" width="17.140625" style="5" customWidth="1"/>
    <col min="6382" max="6627" width="9.140625" style="5"/>
    <col min="6628" max="6628" width="38.5703125" style="5" customWidth="1"/>
    <col min="6629" max="6629" width="40.140625" style="5" customWidth="1"/>
    <col min="6630" max="6636" width="14.7109375" style="5" customWidth="1"/>
    <col min="6637" max="6637" width="17.140625" style="5" customWidth="1"/>
    <col min="6638" max="6883" width="9.140625" style="5"/>
    <col min="6884" max="6884" width="38.5703125" style="5" customWidth="1"/>
    <col min="6885" max="6885" width="40.140625" style="5" customWidth="1"/>
    <col min="6886" max="6892" width="14.7109375" style="5" customWidth="1"/>
    <col min="6893" max="6893" width="17.140625" style="5" customWidth="1"/>
    <col min="6894" max="7139" width="9.140625" style="5"/>
    <col min="7140" max="7140" width="38.5703125" style="5" customWidth="1"/>
    <col min="7141" max="7141" width="40.140625" style="5" customWidth="1"/>
    <col min="7142" max="7148" width="14.7109375" style="5" customWidth="1"/>
    <col min="7149" max="7149" width="17.140625" style="5" customWidth="1"/>
    <col min="7150" max="7395" width="9.140625" style="5"/>
    <col min="7396" max="7396" width="38.5703125" style="5" customWidth="1"/>
    <col min="7397" max="7397" width="40.140625" style="5" customWidth="1"/>
    <col min="7398" max="7404" width="14.7109375" style="5" customWidth="1"/>
    <col min="7405" max="7405" width="17.140625" style="5" customWidth="1"/>
    <col min="7406" max="7651" width="9.140625" style="5"/>
    <col min="7652" max="7652" width="38.5703125" style="5" customWidth="1"/>
    <col min="7653" max="7653" width="40.140625" style="5" customWidth="1"/>
    <col min="7654" max="7660" width="14.7109375" style="5" customWidth="1"/>
    <col min="7661" max="7661" width="17.140625" style="5" customWidth="1"/>
    <col min="7662" max="7907" width="9.140625" style="5"/>
    <col min="7908" max="7908" width="38.5703125" style="5" customWidth="1"/>
    <col min="7909" max="7909" width="40.140625" style="5" customWidth="1"/>
    <col min="7910" max="7916" width="14.7109375" style="5" customWidth="1"/>
    <col min="7917" max="7917" width="17.140625" style="5" customWidth="1"/>
    <col min="7918" max="8163" width="9.140625" style="5"/>
    <col min="8164" max="8164" width="38.5703125" style="5" customWidth="1"/>
    <col min="8165" max="8165" width="40.140625" style="5" customWidth="1"/>
    <col min="8166" max="8172" width="14.7109375" style="5" customWidth="1"/>
    <col min="8173" max="8173" width="17.140625" style="5" customWidth="1"/>
    <col min="8174" max="8419" width="9.140625" style="5"/>
    <col min="8420" max="8420" width="38.5703125" style="5" customWidth="1"/>
    <col min="8421" max="8421" width="40.140625" style="5" customWidth="1"/>
    <col min="8422" max="8428" width="14.7109375" style="5" customWidth="1"/>
    <col min="8429" max="8429" width="17.140625" style="5" customWidth="1"/>
    <col min="8430" max="8675" width="9.140625" style="5"/>
    <col min="8676" max="8676" width="38.5703125" style="5" customWidth="1"/>
    <col min="8677" max="8677" width="40.140625" style="5" customWidth="1"/>
    <col min="8678" max="8684" width="14.7109375" style="5" customWidth="1"/>
    <col min="8685" max="8685" width="17.140625" style="5" customWidth="1"/>
    <col min="8686" max="8931" width="9.140625" style="5"/>
    <col min="8932" max="8932" width="38.5703125" style="5" customWidth="1"/>
    <col min="8933" max="8933" width="40.140625" style="5" customWidth="1"/>
    <col min="8934" max="8940" width="14.7109375" style="5" customWidth="1"/>
    <col min="8941" max="8941" width="17.140625" style="5" customWidth="1"/>
    <col min="8942" max="9187" width="9.140625" style="5"/>
    <col min="9188" max="9188" width="38.5703125" style="5" customWidth="1"/>
    <col min="9189" max="9189" width="40.140625" style="5" customWidth="1"/>
    <col min="9190" max="9196" width="14.7109375" style="5" customWidth="1"/>
    <col min="9197" max="9197" width="17.140625" style="5" customWidth="1"/>
    <col min="9198" max="9443" width="9.140625" style="5"/>
    <col min="9444" max="9444" width="38.5703125" style="5" customWidth="1"/>
    <col min="9445" max="9445" width="40.140625" style="5" customWidth="1"/>
    <col min="9446" max="9452" width="14.7109375" style="5" customWidth="1"/>
    <col min="9453" max="9453" width="17.140625" style="5" customWidth="1"/>
    <col min="9454" max="9699" width="9.140625" style="5"/>
    <col min="9700" max="9700" width="38.5703125" style="5" customWidth="1"/>
    <col min="9701" max="9701" width="40.140625" style="5" customWidth="1"/>
    <col min="9702" max="9708" width="14.7109375" style="5" customWidth="1"/>
    <col min="9709" max="9709" width="17.140625" style="5" customWidth="1"/>
    <col min="9710" max="9955" width="9.140625" style="5"/>
    <col min="9956" max="9956" width="38.5703125" style="5" customWidth="1"/>
    <col min="9957" max="9957" width="40.140625" style="5" customWidth="1"/>
    <col min="9958" max="9964" width="14.7109375" style="5" customWidth="1"/>
    <col min="9965" max="9965" width="17.140625" style="5" customWidth="1"/>
    <col min="9966" max="10211" width="9.140625" style="5"/>
    <col min="10212" max="10212" width="38.5703125" style="5" customWidth="1"/>
    <col min="10213" max="10213" width="40.140625" style="5" customWidth="1"/>
    <col min="10214" max="10220" width="14.7109375" style="5" customWidth="1"/>
    <col min="10221" max="10221" width="17.140625" style="5" customWidth="1"/>
    <col min="10222" max="10467" width="9.140625" style="5"/>
    <col min="10468" max="10468" width="38.5703125" style="5" customWidth="1"/>
    <col min="10469" max="10469" width="40.140625" style="5" customWidth="1"/>
    <col min="10470" max="10476" width="14.7109375" style="5" customWidth="1"/>
    <col min="10477" max="10477" width="17.140625" style="5" customWidth="1"/>
    <col min="10478" max="10723" width="9.140625" style="5"/>
    <col min="10724" max="10724" width="38.5703125" style="5" customWidth="1"/>
    <col min="10725" max="10725" width="40.140625" style="5" customWidth="1"/>
    <col min="10726" max="10732" width="14.7109375" style="5" customWidth="1"/>
    <col min="10733" max="10733" width="17.140625" style="5" customWidth="1"/>
    <col min="10734" max="10979" width="9.140625" style="5"/>
    <col min="10980" max="10980" width="38.5703125" style="5" customWidth="1"/>
    <col min="10981" max="10981" width="40.140625" style="5" customWidth="1"/>
    <col min="10982" max="10988" width="14.7109375" style="5" customWidth="1"/>
    <col min="10989" max="10989" width="17.140625" style="5" customWidth="1"/>
    <col min="10990" max="11235" width="9.140625" style="5"/>
    <col min="11236" max="11236" width="38.5703125" style="5" customWidth="1"/>
    <col min="11237" max="11237" width="40.140625" style="5" customWidth="1"/>
    <col min="11238" max="11244" width="14.7109375" style="5" customWidth="1"/>
    <col min="11245" max="11245" width="17.140625" style="5" customWidth="1"/>
    <col min="11246" max="11491" width="9.140625" style="5"/>
    <col min="11492" max="11492" width="38.5703125" style="5" customWidth="1"/>
    <col min="11493" max="11493" width="40.140625" style="5" customWidth="1"/>
    <col min="11494" max="11500" width="14.7109375" style="5" customWidth="1"/>
    <col min="11501" max="11501" width="17.140625" style="5" customWidth="1"/>
    <col min="11502" max="11747" width="9.140625" style="5"/>
    <col min="11748" max="11748" width="38.5703125" style="5" customWidth="1"/>
    <col min="11749" max="11749" width="40.140625" style="5" customWidth="1"/>
    <col min="11750" max="11756" width="14.7109375" style="5" customWidth="1"/>
    <col min="11757" max="11757" width="17.140625" style="5" customWidth="1"/>
    <col min="11758" max="12003" width="9.140625" style="5"/>
    <col min="12004" max="12004" width="38.5703125" style="5" customWidth="1"/>
    <col min="12005" max="12005" width="40.140625" style="5" customWidth="1"/>
    <col min="12006" max="12012" width="14.7109375" style="5" customWidth="1"/>
    <col min="12013" max="12013" width="17.140625" style="5" customWidth="1"/>
    <col min="12014" max="12259" width="9.140625" style="5"/>
    <col min="12260" max="12260" width="38.5703125" style="5" customWidth="1"/>
    <col min="12261" max="12261" width="40.140625" style="5" customWidth="1"/>
    <col min="12262" max="12268" width="14.7109375" style="5" customWidth="1"/>
    <col min="12269" max="12269" width="17.140625" style="5" customWidth="1"/>
    <col min="12270" max="12515" width="9.140625" style="5"/>
    <col min="12516" max="12516" width="38.5703125" style="5" customWidth="1"/>
    <col min="12517" max="12517" width="40.140625" style="5" customWidth="1"/>
    <col min="12518" max="12524" width="14.7109375" style="5" customWidth="1"/>
    <col min="12525" max="12525" width="17.140625" style="5" customWidth="1"/>
    <col min="12526" max="12771" width="9.140625" style="5"/>
    <col min="12772" max="12772" width="38.5703125" style="5" customWidth="1"/>
    <col min="12773" max="12773" width="40.140625" style="5" customWidth="1"/>
    <col min="12774" max="12780" width="14.7109375" style="5" customWidth="1"/>
    <col min="12781" max="12781" width="17.140625" style="5" customWidth="1"/>
    <col min="12782" max="13027" width="9.140625" style="5"/>
    <col min="13028" max="13028" width="38.5703125" style="5" customWidth="1"/>
    <col min="13029" max="13029" width="40.140625" style="5" customWidth="1"/>
    <col min="13030" max="13036" width="14.7109375" style="5" customWidth="1"/>
    <col min="13037" max="13037" width="17.140625" style="5" customWidth="1"/>
    <col min="13038" max="13283" width="9.140625" style="5"/>
    <col min="13284" max="13284" width="38.5703125" style="5" customWidth="1"/>
    <col min="13285" max="13285" width="40.140625" style="5" customWidth="1"/>
    <col min="13286" max="13292" width="14.7109375" style="5" customWidth="1"/>
    <col min="13293" max="13293" width="17.140625" style="5" customWidth="1"/>
    <col min="13294" max="13539" width="9.140625" style="5"/>
    <col min="13540" max="13540" width="38.5703125" style="5" customWidth="1"/>
    <col min="13541" max="13541" width="40.140625" style="5" customWidth="1"/>
    <col min="13542" max="13548" width="14.7109375" style="5" customWidth="1"/>
    <col min="13549" max="13549" width="17.140625" style="5" customWidth="1"/>
    <col min="13550" max="13795" width="9.140625" style="5"/>
    <col min="13796" max="13796" width="38.5703125" style="5" customWidth="1"/>
    <col min="13797" max="13797" width="40.140625" style="5" customWidth="1"/>
    <col min="13798" max="13804" width="14.7109375" style="5" customWidth="1"/>
    <col min="13805" max="13805" width="17.140625" style="5" customWidth="1"/>
    <col min="13806" max="14051" width="9.140625" style="5"/>
    <col min="14052" max="14052" width="38.5703125" style="5" customWidth="1"/>
    <col min="14053" max="14053" width="40.140625" style="5" customWidth="1"/>
    <col min="14054" max="14060" width="14.7109375" style="5" customWidth="1"/>
    <col min="14061" max="14061" width="17.140625" style="5" customWidth="1"/>
    <col min="14062" max="14307" width="9.140625" style="5"/>
    <col min="14308" max="14308" width="38.5703125" style="5" customWidth="1"/>
    <col min="14309" max="14309" width="40.140625" style="5" customWidth="1"/>
    <col min="14310" max="14316" width="14.7109375" style="5" customWidth="1"/>
    <col min="14317" max="14317" width="17.140625" style="5" customWidth="1"/>
    <col min="14318" max="14563" width="9.140625" style="5"/>
    <col min="14564" max="14564" width="38.5703125" style="5" customWidth="1"/>
    <col min="14565" max="14565" width="40.140625" style="5" customWidth="1"/>
    <col min="14566" max="14572" width="14.7109375" style="5" customWidth="1"/>
    <col min="14573" max="14573" width="17.140625" style="5" customWidth="1"/>
    <col min="14574" max="14819" width="9.140625" style="5"/>
    <col min="14820" max="14820" width="38.5703125" style="5" customWidth="1"/>
    <col min="14821" max="14821" width="40.140625" style="5" customWidth="1"/>
    <col min="14822" max="14828" width="14.7109375" style="5" customWidth="1"/>
    <col min="14829" max="14829" width="17.140625" style="5" customWidth="1"/>
    <col min="14830" max="15075" width="9.140625" style="5"/>
    <col min="15076" max="15076" width="38.5703125" style="5" customWidth="1"/>
    <col min="15077" max="15077" width="40.140625" style="5" customWidth="1"/>
    <col min="15078" max="15084" width="14.7109375" style="5" customWidth="1"/>
    <col min="15085" max="15085" width="17.140625" style="5" customWidth="1"/>
    <col min="15086" max="15331" width="9.140625" style="5"/>
    <col min="15332" max="15332" width="38.5703125" style="5" customWidth="1"/>
    <col min="15333" max="15333" width="40.140625" style="5" customWidth="1"/>
    <col min="15334" max="15340" width="14.7109375" style="5" customWidth="1"/>
    <col min="15341" max="15341" width="17.140625" style="5" customWidth="1"/>
    <col min="15342" max="15587" width="9.140625" style="5"/>
    <col min="15588" max="15588" width="38.5703125" style="5" customWidth="1"/>
    <col min="15589" max="15589" width="40.140625" style="5" customWidth="1"/>
    <col min="15590" max="15596" width="14.7109375" style="5" customWidth="1"/>
    <col min="15597" max="15597" width="17.140625" style="5" customWidth="1"/>
    <col min="15598" max="15843" width="9.140625" style="5"/>
    <col min="15844" max="15844" width="38.5703125" style="5" customWidth="1"/>
    <col min="15845" max="15845" width="40.140625" style="5" customWidth="1"/>
    <col min="15846" max="15852" width="14.7109375" style="5" customWidth="1"/>
    <col min="15853" max="15853" width="17.140625" style="5" customWidth="1"/>
    <col min="15854" max="16099" width="9.140625" style="5"/>
    <col min="16100" max="16100" width="38.5703125" style="5" customWidth="1"/>
    <col min="16101" max="16101" width="40.140625" style="5" customWidth="1"/>
    <col min="16102" max="16108" width="14.7109375" style="5" customWidth="1"/>
    <col min="16109" max="16109" width="17.140625" style="5" customWidth="1"/>
    <col min="16110" max="16384" width="9.140625" style="5"/>
  </cols>
  <sheetData>
    <row r="1" spans="1:227" ht="33" customHeight="1">
      <c r="I1" s="60" t="s">
        <v>1</v>
      </c>
      <c r="J1" s="45"/>
    </row>
    <row r="2" spans="1:227">
      <c r="I2" s="7" t="s">
        <v>2</v>
      </c>
      <c r="J2" s="46"/>
    </row>
    <row r="3" spans="1:227">
      <c r="F3" s="63"/>
      <c r="G3" s="63" t="s">
        <v>96</v>
      </c>
      <c r="H3" s="63"/>
      <c r="I3" s="63"/>
      <c r="J3" s="37"/>
    </row>
    <row r="4" spans="1:227">
      <c r="F4" s="63"/>
      <c r="G4" s="63" t="s">
        <v>97</v>
      </c>
      <c r="H4" s="63"/>
      <c r="I4" s="63"/>
      <c r="J4" s="37"/>
    </row>
    <row r="5" spans="1:227">
      <c r="F5" s="77"/>
      <c r="G5" s="110" t="s">
        <v>100</v>
      </c>
      <c r="H5" s="110"/>
      <c r="I5" s="110"/>
      <c r="J5" s="37"/>
    </row>
    <row r="6" spans="1:227">
      <c r="F6" s="77"/>
      <c r="G6" s="110" t="s">
        <v>99</v>
      </c>
      <c r="H6" s="110"/>
      <c r="I6" s="110"/>
      <c r="J6" s="37"/>
    </row>
    <row r="7" spans="1:227" ht="58.5" customHeight="1"/>
    <row r="8" spans="1:227">
      <c r="B8" s="8"/>
      <c r="C8" s="8"/>
      <c r="D8" s="9" t="s">
        <v>3</v>
      </c>
      <c r="E8" s="8"/>
      <c r="F8" s="8"/>
      <c r="G8" s="8"/>
      <c r="H8" s="8"/>
      <c r="I8" s="8"/>
      <c r="J8" s="47"/>
    </row>
    <row r="9" spans="1:227">
      <c r="A9" s="10"/>
      <c r="B9" s="11"/>
      <c r="C9" s="11"/>
      <c r="D9" s="12" t="s">
        <v>4</v>
      </c>
      <c r="E9" s="11"/>
      <c r="F9" s="11"/>
      <c r="G9" s="11"/>
      <c r="H9" s="11"/>
      <c r="I9" s="11"/>
      <c r="J9" s="48"/>
      <c r="K9" s="34"/>
      <c r="L9" s="34"/>
      <c r="M9" s="34"/>
      <c r="N9" s="34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</row>
    <row r="10" spans="1:227">
      <c r="I10" s="60" t="s">
        <v>5</v>
      </c>
      <c r="J10" s="45"/>
    </row>
    <row r="11" spans="1:227">
      <c r="A11" s="100" t="s">
        <v>6</v>
      </c>
      <c r="B11" s="80" t="s">
        <v>7</v>
      </c>
      <c r="C11" s="80" t="s">
        <v>8</v>
      </c>
      <c r="D11" s="80" t="s">
        <v>9</v>
      </c>
      <c r="E11" s="80"/>
      <c r="F11" s="80"/>
      <c r="G11" s="80"/>
      <c r="H11" s="80"/>
      <c r="I11" s="80"/>
      <c r="J11" s="38"/>
    </row>
    <row r="12" spans="1:227" ht="62.25" customHeight="1">
      <c r="A12" s="102"/>
      <c r="B12" s="80"/>
      <c r="C12" s="80"/>
      <c r="D12" s="32" t="s">
        <v>10</v>
      </c>
      <c r="E12" s="75" t="s">
        <v>11</v>
      </c>
      <c r="F12" s="75" t="s">
        <v>12</v>
      </c>
      <c r="G12" s="75" t="s">
        <v>13</v>
      </c>
      <c r="H12" s="75" t="s">
        <v>14</v>
      </c>
      <c r="I12" s="75" t="s">
        <v>15</v>
      </c>
      <c r="J12" s="38"/>
      <c r="K12" s="38"/>
      <c r="L12" s="38"/>
      <c r="M12" s="59"/>
    </row>
    <row r="13" spans="1:227">
      <c r="A13" s="74">
        <v>1</v>
      </c>
      <c r="B13" s="74">
        <v>2</v>
      </c>
      <c r="C13" s="74">
        <v>3</v>
      </c>
      <c r="D13" s="75">
        <v>4</v>
      </c>
      <c r="E13" s="33">
        <v>5</v>
      </c>
      <c r="F13" s="33">
        <v>6</v>
      </c>
      <c r="G13" s="33">
        <v>7</v>
      </c>
      <c r="H13" s="33">
        <v>8</v>
      </c>
      <c r="I13" s="33">
        <v>9</v>
      </c>
      <c r="J13" s="39"/>
    </row>
    <row r="14" spans="1:227" ht="38.1" customHeight="1">
      <c r="A14" s="85" t="s">
        <v>4</v>
      </c>
      <c r="B14" s="111" t="s">
        <v>86</v>
      </c>
      <c r="C14" s="75">
        <v>2022</v>
      </c>
      <c r="D14" s="16">
        <f t="shared" ref="D14:I15" si="0">D23+D58+D160</f>
        <v>277015.59999999998</v>
      </c>
      <c r="E14" s="16">
        <f t="shared" si="0"/>
        <v>11485.4</v>
      </c>
      <c r="F14" s="16">
        <f t="shared" si="0"/>
        <v>69181.099999999991</v>
      </c>
      <c r="G14" s="16">
        <f t="shared" si="0"/>
        <v>995.7</v>
      </c>
      <c r="H14" s="16">
        <f t="shared" si="0"/>
        <v>195353.4</v>
      </c>
      <c r="I14" s="16">
        <f t="shared" si="0"/>
        <v>0</v>
      </c>
      <c r="J14" s="40"/>
    </row>
    <row r="15" spans="1:227" ht="38.1" customHeight="1">
      <c r="A15" s="85"/>
      <c r="B15" s="111"/>
      <c r="C15" s="75">
        <v>2023</v>
      </c>
      <c r="D15" s="16">
        <f t="shared" si="0"/>
        <v>408613.69999999995</v>
      </c>
      <c r="E15" s="16">
        <f t="shared" si="0"/>
        <v>95082.099999999991</v>
      </c>
      <c r="F15" s="16">
        <f t="shared" si="0"/>
        <v>70635.700000000012</v>
      </c>
      <c r="G15" s="16">
        <f t="shared" si="0"/>
        <v>37769.4</v>
      </c>
      <c r="H15" s="16">
        <f t="shared" si="0"/>
        <v>205126.49999999997</v>
      </c>
      <c r="I15" s="16">
        <f t="shared" si="0"/>
        <v>0</v>
      </c>
      <c r="J15" s="40"/>
    </row>
    <row r="16" spans="1:227" ht="38.1" customHeight="1">
      <c r="A16" s="85"/>
      <c r="B16" s="111"/>
      <c r="C16" s="75">
        <v>2024</v>
      </c>
      <c r="D16" s="16">
        <f t="shared" ref="D16:I18" si="1">D25+D106+D128+D162</f>
        <v>344407</v>
      </c>
      <c r="E16" s="16">
        <f t="shared" si="1"/>
        <v>5298.8</v>
      </c>
      <c r="F16" s="16">
        <f t="shared" si="1"/>
        <v>55153.399999999994</v>
      </c>
      <c r="G16" s="16">
        <f t="shared" si="1"/>
        <v>91785.599999999991</v>
      </c>
      <c r="H16" s="16">
        <f t="shared" si="1"/>
        <v>182169.2</v>
      </c>
      <c r="I16" s="16">
        <f t="shared" si="1"/>
        <v>10000</v>
      </c>
      <c r="J16" s="40"/>
      <c r="L16" s="56"/>
      <c r="M16" s="3"/>
      <c r="N16" s="56"/>
    </row>
    <row r="17" spans="1:227" ht="38.1" customHeight="1">
      <c r="A17" s="85"/>
      <c r="B17" s="111"/>
      <c r="C17" s="75">
        <v>2025</v>
      </c>
      <c r="D17" s="16">
        <f t="shared" si="1"/>
        <v>511956.69999999995</v>
      </c>
      <c r="E17" s="16">
        <f t="shared" si="1"/>
        <v>92235.9</v>
      </c>
      <c r="F17" s="16">
        <f t="shared" si="1"/>
        <v>102293.3</v>
      </c>
      <c r="G17" s="16">
        <f t="shared" si="1"/>
        <v>126159.2</v>
      </c>
      <c r="H17" s="16">
        <f t="shared" si="1"/>
        <v>184268.3</v>
      </c>
      <c r="I17" s="16">
        <f t="shared" si="1"/>
        <v>7000</v>
      </c>
      <c r="J17" s="40"/>
      <c r="K17" s="40"/>
      <c r="L17" s="57"/>
      <c r="M17" s="57"/>
      <c r="N17" s="55"/>
    </row>
    <row r="18" spans="1:227" s="30" customFormat="1" ht="38.1" customHeight="1">
      <c r="A18" s="85"/>
      <c r="B18" s="111"/>
      <c r="C18" s="75">
        <v>2026</v>
      </c>
      <c r="D18" s="16">
        <f t="shared" si="1"/>
        <v>767919.4</v>
      </c>
      <c r="E18" s="16">
        <f t="shared" si="1"/>
        <v>97138</v>
      </c>
      <c r="F18" s="16">
        <f t="shared" si="1"/>
        <v>143244</v>
      </c>
      <c r="G18" s="16">
        <f t="shared" si="1"/>
        <v>306275.60000000003</v>
      </c>
      <c r="H18" s="16">
        <f t="shared" si="1"/>
        <v>215261.80000000002</v>
      </c>
      <c r="I18" s="16">
        <f>I27+I108+I130+I164</f>
        <v>6000</v>
      </c>
      <c r="J18" s="40"/>
      <c r="K18" s="40"/>
      <c r="L18" s="56"/>
      <c r="M18" s="61"/>
      <c r="N18" s="61"/>
    </row>
    <row r="19" spans="1:227" ht="38.1" customHeight="1">
      <c r="A19" s="85"/>
      <c r="B19" s="111"/>
      <c r="C19" s="75">
        <v>2027</v>
      </c>
      <c r="D19" s="64">
        <f>SUM(E19:I19)</f>
        <v>200591.1</v>
      </c>
      <c r="E19" s="64">
        <f t="shared" ref="E19:I20" si="2">E109+E165</f>
        <v>0</v>
      </c>
      <c r="F19" s="64">
        <f t="shared" si="2"/>
        <v>0</v>
      </c>
      <c r="G19" s="64">
        <f t="shared" si="2"/>
        <v>0</v>
      </c>
      <c r="H19" s="64">
        <f t="shared" si="2"/>
        <v>200591.1</v>
      </c>
      <c r="I19" s="64">
        <f t="shared" si="2"/>
        <v>0</v>
      </c>
      <c r="J19" s="40"/>
      <c r="K19" s="40"/>
      <c r="L19" s="56"/>
    </row>
    <row r="20" spans="1:227" ht="38.1" customHeight="1">
      <c r="A20" s="85"/>
      <c r="B20" s="111"/>
      <c r="C20" s="75">
        <v>2028</v>
      </c>
      <c r="D20" s="64">
        <f>SUM(E20:I20)</f>
        <v>198901.3</v>
      </c>
      <c r="E20" s="64">
        <f t="shared" si="2"/>
        <v>0</v>
      </c>
      <c r="F20" s="64">
        <f t="shared" si="2"/>
        <v>0</v>
      </c>
      <c r="G20" s="64">
        <f t="shared" si="2"/>
        <v>0</v>
      </c>
      <c r="H20" s="64">
        <f t="shared" si="2"/>
        <v>198901.3</v>
      </c>
      <c r="I20" s="64">
        <f t="shared" si="2"/>
        <v>0</v>
      </c>
      <c r="J20" s="40"/>
      <c r="K20" s="40"/>
      <c r="L20" s="56"/>
    </row>
    <row r="21" spans="1:227" ht="38.1" customHeight="1">
      <c r="A21" s="85"/>
      <c r="B21" s="111"/>
      <c r="C21" s="75" t="s">
        <v>16</v>
      </c>
      <c r="D21" s="16">
        <f>SUM(D14:D20)</f>
        <v>2709404.8</v>
      </c>
      <c r="E21" s="16">
        <f t="shared" ref="E21:H21" si="3">SUM(E14:E20)</f>
        <v>301240.19999999995</v>
      </c>
      <c r="F21" s="16">
        <f t="shared" si="3"/>
        <v>440507.5</v>
      </c>
      <c r="G21" s="16">
        <f t="shared" si="3"/>
        <v>562985.5</v>
      </c>
      <c r="H21" s="16">
        <f t="shared" si="3"/>
        <v>1381671.6</v>
      </c>
      <c r="I21" s="16">
        <f>SUM(I14:I20)</f>
        <v>23000</v>
      </c>
      <c r="J21" s="40"/>
    </row>
    <row r="22" spans="1:227">
      <c r="A22" s="25" t="s">
        <v>17</v>
      </c>
      <c r="B22" s="26"/>
      <c r="C22" s="27"/>
      <c r="D22" s="28"/>
      <c r="E22" s="28"/>
      <c r="F22" s="28"/>
      <c r="G22" s="28"/>
      <c r="H22" s="28"/>
      <c r="I22" s="29"/>
      <c r="J22" s="40"/>
    </row>
    <row r="23" spans="1:227" ht="18.75" customHeight="1">
      <c r="A23" s="78" t="s">
        <v>78</v>
      </c>
      <c r="B23" s="89"/>
      <c r="C23" s="75">
        <v>2022</v>
      </c>
      <c r="D23" s="24">
        <f t="shared" ref="D23:I25" si="4">D29</f>
        <v>38878.399999999994</v>
      </c>
      <c r="E23" s="24">
        <f t="shared" si="4"/>
        <v>11353.3</v>
      </c>
      <c r="F23" s="24">
        <f t="shared" si="4"/>
        <v>24803.599999999999</v>
      </c>
      <c r="G23" s="24">
        <f t="shared" si="4"/>
        <v>0</v>
      </c>
      <c r="H23" s="24">
        <f t="shared" si="4"/>
        <v>2721.5</v>
      </c>
      <c r="I23" s="24">
        <f t="shared" si="4"/>
        <v>0</v>
      </c>
      <c r="J23" s="41"/>
      <c r="K23" s="35"/>
      <c r="L23" s="35"/>
      <c r="M23" s="35"/>
      <c r="N23" s="3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88"/>
      <c r="B24" s="86"/>
      <c r="C24" s="75">
        <v>2023</v>
      </c>
      <c r="D24" s="16">
        <f t="shared" si="4"/>
        <v>151703.9</v>
      </c>
      <c r="E24" s="16">
        <f t="shared" si="4"/>
        <v>94877.9</v>
      </c>
      <c r="F24" s="16">
        <f t="shared" si="4"/>
        <v>30656.7</v>
      </c>
      <c r="G24" s="16">
        <f t="shared" si="4"/>
        <v>25000</v>
      </c>
      <c r="H24" s="16">
        <f t="shared" si="4"/>
        <v>1169.3</v>
      </c>
      <c r="I24" s="16">
        <f t="shared" si="4"/>
        <v>0</v>
      </c>
      <c r="J24" s="40"/>
      <c r="K24" s="35"/>
      <c r="L24" s="35"/>
      <c r="M24" s="35"/>
      <c r="N24" s="3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88"/>
      <c r="B25" s="86"/>
      <c r="C25" s="75">
        <v>2024</v>
      </c>
      <c r="D25" s="16">
        <f t="shared" si="4"/>
        <v>19616.400000000001</v>
      </c>
      <c r="E25" s="16">
        <f t="shared" si="4"/>
        <v>4569</v>
      </c>
      <c r="F25" s="16">
        <f t="shared" si="4"/>
        <v>10431</v>
      </c>
      <c r="G25" s="16">
        <f t="shared" si="4"/>
        <v>0</v>
      </c>
      <c r="H25" s="16">
        <f t="shared" si="4"/>
        <v>4616.3999999999996</v>
      </c>
      <c r="I25" s="16">
        <f t="shared" si="4"/>
        <v>0</v>
      </c>
      <c r="J25" s="40"/>
      <c r="K25" s="58"/>
      <c r="L25" s="56"/>
      <c r="M25" s="3"/>
      <c r="N25" s="56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88"/>
      <c r="B26" s="86"/>
      <c r="C26" s="75">
        <v>2025</v>
      </c>
      <c r="D26" s="16">
        <f t="shared" ref="D26:I27" si="5">D32+D47</f>
        <v>221257.19999999998</v>
      </c>
      <c r="E26" s="16">
        <f t="shared" si="5"/>
        <v>91986.4</v>
      </c>
      <c r="F26" s="16">
        <f t="shared" si="5"/>
        <v>85587.3</v>
      </c>
      <c r="G26" s="16">
        <f t="shared" si="5"/>
        <v>42894.799999999996</v>
      </c>
      <c r="H26" s="16">
        <f t="shared" si="5"/>
        <v>788.7</v>
      </c>
      <c r="I26" s="16">
        <f t="shared" si="5"/>
        <v>0</v>
      </c>
      <c r="J26" s="40"/>
      <c r="K26" s="40"/>
      <c r="L26" s="62"/>
      <c r="M26" s="35"/>
      <c r="N26" s="3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s="66" customFormat="1">
      <c r="A27" s="88"/>
      <c r="B27" s="86"/>
      <c r="C27" s="75">
        <v>2026</v>
      </c>
      <c r="D27" s="16">
        <f>SUM(E27:I27)</f>
        <v>396150.80000000005</v>
      </c>
      <c r="E27" s="16">
        <f t="shared" si="5"/>
        <v>97138</v>
      </c>
      <c r="F27" s="16">
        <f t="shared" si="5"/>
        <v>110189.7</v>
      </c>
      <c r="G27" s="16">
        <f t="shared" si="5"/>
        <v>188441.7</v>
      </c>
      <c r="H27" s="16">
        <f t="shared" si="5"/>
        <v>381.4</v>
      </c>
      <c r="I27" s="16">
        <f>I33+I48</f>
        <v>0</v>
      </c>
      <c r="J27" s="40"/>
      <c r="K27" s="40"/>
      <c r="L27" s="71"/>
      <c r="M27" s="72"/>
      <c r="N27" s="72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</row>
    <row r="28" spans="1:227">
      <c r="A28" s="79"/>
      <c r="B28" s="87"/>
      <c r="C28" s="75" t="s">
        <v>16</v>
      </c>
      <c r="D28" s="16">
        <f t="shared" ref="D28:H28" si="6">SUM(D23:D27)</f>
        <v>827606.7</v>
      </c>
      <c r="E28" s="16">
        <f t="shared" si="6"/>
        <v>299924.59999999998</v>
      </c>
      <c r="F28" s="16">
        <f t="shared" si="6"/>
        <v>261668.3</v>
      </c>
      <c r="G28" s="16">
        <f t="shared" si="6"/>
        <v>256336.5</v>
      </c>
      <c r="H28" s="16">
        <f t="shared" si="6"/>
        <v>9677.3000000000011</v>
      </c>
      <c r="I28" s="16">
        <f>SUM(I23:I27)</f>
        <v>0</v>
      </c>
      <c r="J28" s="40"/>
      <c r="K28" s="35"/>
      <c r="L28" s="35"/>
      <c r="M28" s="35"/>
      <c r="N28" s="3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ht="18.75" customHeight="1">
      <c r="A29" s="78" t="s">
        <v>79</v>
      </c>
      <c r="B29" s="89"/>
      <c r="C29" s="75">
        <v>2022</v>
      </c>
      <c r="D29" s="16">
        <f t="shared" ref="D29:I33" si="7">D35+D41</f>
        <v>38878.399999999994</v>
      </c>
      <c r="E29" s="16">
        <f t="shared" si="7"/>
        <v>11353.3</v>
      </c>
      <c r="F29" s="16">
        <f t="shared" si="7"/>
        <v>24803.599999999999</v>
      </c>
      <c r="G29" s="16">
        <f t="shared" si="7"/>
        <v>0</v>
      </c>
      <c r="H29" s="16">
        <f t="shared" si="7"/>
        <v>2721.5</v>
      </c>
      <c r="I29" s="16">
        <f t="shared" si="7"/>
        <v>0</v>
      </c>
      <c r="J29" s="40"/>
      <c r="K29" s="35"/>
      <c r="L29" s="35"/>
      <c r="M29" s="35"/>
      <c r="N29" s="3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88"/>
      <c r="B30" s="86"/>
      <c r="C30" s="75">
        <v>2023</v>
      </c>
      <c r="D30" s="16">
        <f t="shared" si="7"/>
        <v>151703.9</v>
      </c>
      <c r="E30" s="16">
        <f t="shared" si="7"/>
        <v>94877.9</v>
      </c>
      <c r="F30" s="16">
        <f t="shared" si="7"/>
        <v>30656.7</v>
      </c>
      <c r="G30" s="16">
        <f t="shared" si="7"/>
        <v>25000</v>
      </c>
      <c r="H30" s="16">
        <f t="shared" si="7"/>
        <v>1169.3</v>
      </c>
      <c r="I30" s="16">
        <f t="shared" si="7"/>
        <v>0</v>
      </c>
      <c r="J30" s="40"/>
      <c r="K30" s="35"/>
      <c r="L30" s="35"/>
      <c r="M30" s="35"/>
      <c r="N30" s="3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88"/>
      <c r="B31" s="86"/>
      <c r="C31" s="75">
        <v>2024</v>
      </c>
      <c r="D31" s="16">
        <f>SUM(E31:I31)</f>
        <v>19616.400000000001</v>
      </c>
      <c r="E31" s="16">
        <f t="shared" si="7"/>
        <v>4569</v>
      </c>
      <c r="F31" s="16">
        <f t="shared" si="7"/>
        <v>10431</v>
      </c>
      <c r="G31" s="16">
        <f t="shared" si="7"/>
        <v>0</v>
      </c>
      <c r="H31" s="16">
        <f t="shared" si="7"/>
        <v>4616.3999999999996</v>
      </c>
      <c r="I31" s="16">
        <f t="shared" si="7"/>
        <v>0</v>
      </c>
      <c r="J31" s="40"/>
      <c r="K31" s="35"/>
      <c r="L31" s="56"/>
      <c r="M31" s="3"/>
      <c r="N31" s="56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88"/>
      <c r="B32" s="86"/>
      <c r="C32" s="75">
        <v>2025</v>
      </c>
      <c r="D32" s="16">
        <f>SUM(E32:I32)</f>
        <v>167558.79999999999</v>
      </c>
      <c r="E32" s="16">
        <f t="shared" si="7"/>
        <v>91986.4</v>
      </c>
      <c r="F32" s="16">
        <f t="shared" si="7"/>
        <v>32515.300000000003</v>
      </c>
      <c r="G32" s="16">
        <f t="shared" si="7"/>
        <v>42358.7</v>
      </c>
      <c r="H32" s="16">
        <f t="shared" si="7"/>
        <v>698.4</v>
      </c>
      <c r="I32" s="16">
        <f t="shared" si="7"/>
        <v>0</v>
      </c>
      <c r="J32" s="40"/>
      <c r="K32" s="40"/>
      <c r="L32" s="53"/>
      <c r="M32" s="53"/>
      <c r="N32" s="5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s="66" customFormat="1">
      <c r="A33" s="88"/>
      <c r="B33" s="86"/>
      <c r="C33" s="75">
        <v>2026</v>
      </c>
      <c r="D33" s="16">
        <f>SUM(E33:I33)</f>
        <v>358012.9</v>
      </c>
      <c r="E33" s="16">
        <f t="shared" si="7"/>
        <v>97138</v>
      </c>
      <c r="F33" s="16">
        <f t="shared" si="7"/>
        <v>72433.2</v>
      </c>
      <c r="G33" s="16">
        <f t="shared" si="7"/>
        <v>188441.7</v>
      </c>
      <c r="H33" s="16">
        <f t="shared" si="7"/>
        <v>0</v>
      </c>
      <c r="I33" s="16">
        <f>I39+I45</f>
        <v>0</v>
      </c>
      <c r="J33" s="40"/>
      <c r="K33" s="40"/>
      <c r="L33" s="67"/>
      <c r="M33" s="67"/>
      <c r="N33" s="67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</row>
    <row r="34" spans="1:227" ht="24.75" customHeight="1">
      <c r="A34" s="79"/>
      <c r="B34" s="87"/>
      <c r="C34" s="75" t="s">
        <v>16</v>
      </c>
      <c r="D34" s="16">
        <f t="shared" ref="D34:H34" si="8">SUM(D29:D33)</f>
        <v>735770.4</v>
      </c>
      <c r="E34" s="16">
        <f t="shared" si="8"/>
        <v>299924.59999999998</v>
      </c>
      <c r="F34" s="16">
        <f t="shared" si="8"/>
        <v>170839.8</v>
      </c>
      <c r="G34" s="16">
        <f t="shared" si="8"/>
        <v>255800.40000000002</v>
      </c>
      <c r="H34" s="16">
        <f t="shared" si="8"/>
        <v>9205.6</v>
      </c>
      <c r="I34" s="16">
        <f>SUM(I29:I33)</f>
        <v>0</v>
      </c>
      <c r="J34" s="40"/>
      <c r="K34" s="35"/>
      <c r="L34" s="35"/>
      <c r="M34" s="35"/>
      <c r="N34" s="3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ht="18.75" customHeight="1">
      <c r="A35" s="81" t="s">
        <v>92</v>
      </c>
      <c r="B35" s="89"/>
      <c r="C35" s="74">
        <v>2022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42"/>
    </row>
    <row r="36" spans="1:227">
      <c r="A36" s="84"/>
      <c r="B36" s="86"/>
      <c r="C36" s="74">
        <v>2023</v>
      </c>
      <c r="D36" s="15">
        <f>SUM(E36:I36)</f>
        <v>135000</v>
      </c>
      <c r="E36" s="15">
        <v>90000</v>
      </c>
      <c r="F36" s="15">
        <v>20000</v>
      </c>
      <c r="G36" s="15">
        <v>25000</v>
      </c>
      <c r="H36" s="15">
        <v>0</v>
      </c>
      <c r="I36" s="15">
        <v>0</v>
      </c>
      <c r="J36" s="42"/>
    </row>
    <row r="37" spans="1:227">
      <c r="A37" s="84"/>
      <c r="B37" s="86"/>
      <c r="C37" s="74">
        <v>2024</v>
      </c>
      <c r="D37" s="15">
        <f>SUM(E37:I37)</f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42"/>
      <c r="L37" s="56"/>
      <c r="M37" s="3"/>
      <c r="N37" s="56"/>
    </row>
    <row r="38" spans="1:227">
      <c r="A38" s="84"/>
      <c r="B38" s="86"/>
      <c r="C38" s="74">
        <v>2025</v>
      </c>
      <c r="D38" s="15">
        <f>SUM(E38:I38)</f>
        <v>146230.79999999999</v>
      </c>
      <c r="E38" s="15">
        <f>90235.3-3874.8</f>
        <v>86360.5</v>
      </c>
      <c r="F38" s="15">
        <f>20000-858.8-0.1+0.1</f>
        <v>19141.2</v>
      </c>
      <c r="G38" s="15">
        <f>42556.5-1827.4</f>
        <v>40729.1</v>
      </c>
      <c r="H38" s="15">
        <v>0</v>
      </c>
      <c r="I38" s="15">
        <v>0</v>
      </c>
      <c r="J38" s="42"/>
      <c r="K38" s="42"/>
      <c r="L38" s="49"/>
      <c r="M38" s="54"/>
      <c r="N38" s="53"/>
    </row>
    <row r="39" spans="1:227" s="66" customFormat="1">
      <c r="A39" s="84"/>
      <c r="B39" s="86"/>
      <c r="C39" s="74">
        <v>2026</v>
      </c>
      <c r="D39" s="15">
        <f>SUM(E39:I39)</f>
        <v>327571.20000000001</v>
      </c>
      <c r="E39" s="15">
        <v>91848.4</v>
      </c>
      <c r="F39" s="15">
        <v>58722.8</v>
      </c>
      <c r="G39" s="15">
        <v>177000</v>
      </c>
      <c r="H39" s="15">
        <v>0</v>
      </c>
      <c r="I39" s="15">
        <v>0</v>
      </c>
      <c r="J39" s="42"/>
      <c r="K39" s="42"/>
      <c r="L39" s="69"/>
      <c r="M39" s="70"/>
      <c r="N39" s="67"/>
    </row>
    <row r="40" spans="1:227" ht="24" customHeight="1">
      <c r="A40" s="82"/>
      <c r="B40" s="87"/>
      <c r="C40" s="74" t="s">
        <v>16</v>
      </c>
      <c r="D40" s="15">
        <f t="shared" ref="D40:H40" si="9">SUM(D35:D39)</f>
        <v>608802</v>
      </c>
      <c r="E40" s="15">
        <f t="shared" si="9"/>
        <v>268208.90000000002</v>
      </c>
      <c r="F40" s="15">
        <f t="shared" si="9"/>
        <v>97864</v>
      </c>
      <c r="G40" s="15">
        <f t="shared" si="9"/>
        <v>242729.1</v>
      </c>
      <c r="H40" s="15">
        <f t="shared" si="9"/>
        <v>0</v>
      </c>
      <c r="I40" s="15">
        <f>SUM(I35:I39)</f>
        <v>0</v>
      </c>
      <c r="J40" s="42"/>
    </row>
    <row r="41" spans="1:227" ht="18.75" customHeight="1">
      <c r="A41" s="81" t="s">
        <v>18</v>
      </c>
      <c r="B41" s="89"/>
      <c r="C41" s="74">
        <v>2022</v>
      </c>
      <c r="D41" s="15">
        <f t="shared" ref="D41:D44" si="10">SUM(E41:I41)</f>
        <v>38878.399999999994</v>
      </c>
      <c r="E41" s="15">
        <v>11353.3</v>
      </c>
      <c r="F41" s="15">
        <v>24803.599999999999</v>
      </c>
      <c r="G41" s="15">
        <v>0</v>
      </c>
      <c r="H41" s="15">
        <v>2721.5</v>
      </c>
      <c r="I41" s="15">
        <v>0</v>
      </c>
      <c r="J41" s="42"/>
    </row>
    <row r="42" spans="1:227">
      <c r="A42" s="84"/>
      <c r="B42" s="86"/>
      <c r="C42" s="74">
        <v>2023</v>
      </c>
      <c r="D42" s="15">
        <f t="shared" si="10"/>
        <v>16703.900000000001</v>
      </c>
      <c r="E42" s="15">
        <v>4877.8999999999996</v>
      </c>
      <c r="F42" s="15">
        <v>10656.7</v>
      </c>
      <c r="G42" s="15">
        <v>0</v>
      </c>
      <c r="H42" s="15">
        <v>1169.3</v>
      </c>
      <c r="I42" s="15">
        <v>0</v>
      </c>
      <c r="J42" s="42"/>
    </row>
    <row r="43" spans="1:227">
      <c r="A43" s="84"/>
      <c r="B43" s="86"/>
      <c r="C43" s="74">
        <v>2024</v>
      </c>
      <c r="D43" s="15">
        <f t="shared" si="10"/>
        <v>19616.400000000001</v>
      </c>
      <c r="E43" s="15">
        <v>4569</v>
      </c>
      <c r="F43" s="15">
        <v>10431</v>
      </c>
      <c r="G43" s="15">
        <v>0</v>
      </c>
      <c r="H43" s="15">
        <v>4616.3999999999996</v>
      </c>
      <c r="I43" s="15">
        <v>0</v>
      </c>
      <c r="J43" s="42"/>
    </row>
    <row r="44" spans="1:227">
      <c r="A44" s="84"/>
      <c r="B44" s="86"/>
      <c r="C44" s="74">
        <v>2025</v>
      </c>
      <c r="D44" s="15">
        <f t="shared" si="10"/>
        <v>21328</v>
      </c>
      <c r="E44" s="15">
        <v>5625.9</v>
      </c>
      <c r="F44" s="15">
        <v>13374.1</v>
      </c>
      <c r="G44" s="15">
        <v>1629.6</v>
      </c>
      <c r="H44" s="15">
        <v>698.4</v>
      </c>
      <c r="I44" s="15">
        <v>0</v>
      </c>
      <c r="J44" s="42"/>
      <c r="K44" s="42"/>
    </row>
    <row r="45" spans="1:227" s="66" customFormat="1">
      <c r="A45" s="84"/>
      <c r="B45" s="86"/>
      <c r="C45" s="74">
        <v>2026</v>
      </c>
      <c r="D45" s="15">
        <f>SUM(E45:I45)</f>
        <v>30441.7</v>
      </c>
      <c r="E45" s="15">
        <v>5289.6</v>
      </c>
      <c r="F45" s="15">
        <v>13710.4</v>
      </c>
      <c r="G45" s="15">
        <v>11441.7</v>
      </c>
      <c r="H45" s="15">
        <v>0</v>
      </c>
      <c r="I45" s="15">
        <v>0</v>
      </c>
      <c r="J45" s="42"/>
      <c r="K45" s="42"/>
      <c r="L45" s="65"/>
      <c r="M45" s="65"/>
      <c r="N45" s="65"/>
    </row>
    <row r="46" spans="1:227">
      <c r="A46" s="82"/>
      <c r="B46" s="87"/>
      <c r="C46" s="74" t="s">
        <v>16</v>
      </c>
      <c r="D46" s="15">
        <f t="shared" ref="D46:H46" si="11">SUM(D41:D45)</f>
        <v>126968.4</v>
      </c>
      <c r="E46" s="15">
        <f t="shared" si="11"/>
        <v>31715.699999999997</v>
      </c>
      <c r="F46" s="15">
        <f t="shared" si="11"/>
        <v>72975.8</v>
      </c>
      <c r="G46" s="15">
        <f t="shared" si="11"/>
        <v>13071.300000000001</v>
      </c>
      <c r="H46" s="15">
        <f t="shared" si="11"/>
        <v>9205.6</v>
      </c>
      <c r="I46" s="15">
        <f>SUM(I41:I45)</f>
        <v>0</v>
      </c>
      <c r="J46" s="42"/>
      <c r="L46" s="56"/>
      <c r="M46" s="3"/>
      <c r="N46" s="56"/>
    </row>
    <row r="47" spans="1:227" ht="19.5" customHeight="1">
      <c r="A47" s="78" t="s">
        <v>88</v>
      </c>
      <c r="B47" s="86"/>
      <c r="C47" s="75">
        <v>2025</v>
      </c>
      <c r="D47" s="16">
        <f>SUM(E47:I47)</f>
        <v>53698.400000000001</v>
      </c>
      <c r="E47" s="16">
        <f t="shared" ref="E47:I47" si="12">E50+E53+E56</f>
        <v>0</v>
      </c>
      <c r="F47" s="16">
        <f t="shared" si="12"/>
        <v>53072</v>
      </c>
      <c r="G47" s="16">
        <f t="shared" si="12"/>
        <v>536.1</v>
      </c>
      <c r="H47" s="16">
        <f t="shared" si="12"/>
        <v>90.300000000000011</v>
      </c>
      <c r="I47" s="16">
        <f t="shared" si="12"/>
        <v>0</v>
      </c>
      <c r="J47" s="40"/>
      <c r="K47" s="40"/>
      <c r="L47" s="53"/>
      <c r="M47" s="53"/>
      <c r="N47" s="5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</row>
    <row r="48" spans="1:227" s="66" customFormat="1" ht="19.5" customHeight="1">
      <c r="A48" s="88"/>
      <c r="B48" s="86"/>
      <c r="C48" s="75">
        <v>2026</v>
      </c>
      <c r="D48" s="16">
        <f>SUM(E48:I48)</f>
        <v>38137.9</v>
      </c>
      <c r="E48" s="16">
        <f t="shared" ref="E48:H48" si="13">E51+E54</f>
        <v>0</v>
      </c>
      <c r="F48" s="16">
        <f t="shared" si="13"/>
        <v>37756.5</v>
      </c>
      <c r="G48" s="16">
        <f t="shared" si="13"/>
        <v>0</v>
      </c>
      <c r="H48" s="16">
        <f t="shared" si="13"/>
        <v>381.4</v>
      </c>
      <c r="I48" s="16">
        <f>I51+I54</f>
        <v>0</v>
      </c>
      <c r="J48" s="40"/>
      <c r="K48" s="40"/>
      <c r="L48" s="67"/>
      <c r="M48" s="67"/>
      <c r="N48" s="67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</row>
    <row r="49" spans="1:227" ht="19.5" customHeight="1">
      <c r="A49" s="79"/>
      <c r="B49" s="87"/>
      <c r="C49" s="75" t="s">
        <v>16</v>
      </c>
      <c r="D49" s="16">
        <f t="shared" ref="D49:H49" si="14">SUM(D47:D48)</f>
        <v>91836.3</v>
      </c>
      <c r="E49" s="16">
        <f t="shared" si="14"/>
        <v>0</v>
      </c>
      <c r="F49" s="16">
        <f t="shared" si="14"/>
        <v>90828.5</v>
      </c>
      <c r="G49" s="16">
        <f t="shared" si="14"/>
        <v>536.1</v>
      </c>
      <c r="H49" s="16">
        <f t="shared" si="14"/>
        <v>471.7</v>
      </c>
      <c r="I49" s="16">
        <f>SUM(I47:I48)</f>
        <v>0</v>
      </c>
      <c r="J49" s="40"/>
      <c r="K49" s="35"/>
      <c r="L49" s="35"/>
      <c r="M49" s="35"/>
      <c r="N49" s="3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</row>
    <row r="50" spans="1:227" ht="25.5" customHeight="1">
      <c r="A50" s="81" t="s">
        <v>89</v>
      </c>
      <c r="B50" s="86"/>
      <c r="C50" s="74">
        <v>2025</v>
      </c>
      <c r="D50" s="15">
        <f>SUM(E50:I50)</f>
        <v>626.40000000000009</v>
      </c>
      <c r="E50" s="15">
        <v>0</v>
      </c>
      <c r="F50" s="15">
        <v>0</v>
      </c>
      <c r="G50" s="15">
        <f>536.1-0.1+0.1</f>
        <v>536.1</v>
      </c>
      <c r="H50" s="15">
        <f>0+90.4-0.1</f>
        <v>90.300000000000011</v>
      </c>
      <c r="I50" s="15">
        <v>0</v>
      </c>
      <c r="J50" s="42"/>
      <c r="K50" s="42"/>
    </row>
    <row r="51" spans="1:227" s="66" customFormat="1" ht="25.5" customHeight="1">
      <c r="A51" s="84"/>
      <c r="B51" s="86"/>
      <c r="C51" s="74">
        <v>2026</v>
      </c>
      <c r="D51" s="15">
        <f>SUM(E51:I51)</f>
        <v>381.4</v>
      </c>
      <c r="E51" s="15">
        <v>0</v>
      </c>
      <c r="F51" s="15">
        <v>0</v>
      </c>
      <c r="G51" s="15">
        <v>0</v>
      </c>
      <c r="H51" s="15">
        <v>381.4</v>
      </c>
      <c r="I51" s="15">
        <v>0</v>
      </c>
      <c r="J51" s="42"/>
      <c r="K51" s="42"/>
      <c r="L51" s="65"/>
      <c r="M51" s="65"/>
      <c r="N51" s="65"/>
    </row>
    <row r="52" spans="1:227" ht="33.75" customHeight="1">
      <c r="A52" s="82"/>
      <c r="B52" s="87"/>
      <c r="C52" s="74" t="s">
        <v>16</v>
      </c>
      <c r="D52" s="15">
        <f t="shared" ref="D52:H52" si="15">SUM(D50:D51)</f>
        <v>1007.8000000000001</v>
      </c>
      <c r="E52" s="15">
        <f t="shared" si="15"/>
        <v>0</v>
      </c>
      <c r="F52" s="15">
        <f t="shared" si="15"/>
        <v>0</v>
      </c>
      <c r="G52" s="15">
        <f t="shared" si="15"/>
        <v>536.1</v>
      </c>
      <c r="H52" s="15">
        <f t="shared" si="15"/>
        <v>471.7</v>
      </c>
      <c r="I52" s="15">
        <f>SUM(I50:I51)</f>
        <v>0</v>
      </c>
      <c r="J52" s="42"/>
    </row>
    <row r="53" spans="1:227" ht="33" customHeight="1">
      <c r="A53" s="81" t="s">
        <v>90</v>
      </c>
      <c r="B53" s="86"/>
      <c r="C53" s="74">
        <v>2025</v>
      </c>
      <c r="D53" s="15">
        <f>SUM(E53:I53)</f>
        <v>39795</v>
      </c>
      <c r="E53" s="15">
        <v>0</v>
      </c>
      <c r="F53" s="15">
        <v>39795</v>
      </c>
      <c r="G53" s="15">
        <v>0</v>
      </c>
      <c r="H53" s="15">
        <v>0</v>
      </c>
      <c r="I53" s="15">
        <v>0</v>
      </c>
      <c r="J53" s="42"/>
      <c r="K53" s="42"/>
    </row>
    <row r="54" spans="1:227" s="66" customFormat="1" ht="33" customHeight="1">
      <c r="A54" s="84"/>
      <c r="B54" s="86"/>
      <c r="C54" s="74">
        <v>2026</v>
      </c>
      <c r="D54" s="15">
        <f>SUM(E54:I54)</f>
        <v>37756.5</v>
      </c>
      <c r="E54" s="15">
        <v>0</v>
      </c>
      <c r="F54" s="15">
        <v>37756.5</v>
      </c>
      <c r="G54" s="15">
        <v>0</v>
      </c>
      <c r="H54" s="15">
        <v>0</v>
      </c>
      <c r="I54" s="15">
        <v>0</v>
      </c>
      <c r="J54" s="42"/>
      <c r="K54" s="42"/>
      <c r="L54" s="65"/>
      <c r="M54" s="65"/>
      <c r="N54" s="65"/>
    </row>
    <row r="55" spans="1:227" ht="45" customHeight="1">
      <c r="A55" s="82"/>
      <c r="B55" s="87"/>
      <c r="C55" s="74" t="s">
        <v>16</v>
      </c>
      <c r="D55" s="15">
        <f t="shared" ref="D55:H55" si="16">SUM(D53:D54)</f>
        <v>77551.5</v>
      </c>
      <c r="E55" s="15">
        <f t="shared" si="16"/>
        <v>0</v>
      </c>
      <c r="F55" s="15">
        <f t="shared" si="16"/>
        <v>77551.5</v>
      </c>
      <c r="G55" s="15">
        <f t="shared" si="16"/>
        <v>0</v>
      </c>
      <c r="H55" s="15">
        <f t="shared" si="16"/>
        <v>0</v>
      </c>
      <c r="I55" s="15">
        <f>SUM(I53:I54)</f>
        <v>0</v>
      </c>
      <c r="J55" s="42"/>
    </row>
    <row r="56" spans="1:227" ht="41.25" customHeight="1">
      <c r="A56" s="81" t="s">
        <v>91</v>
      </c>
      <c r="B56" s="86"/>
      <c r="C56" s="74">
        <v>2025</v>
      </c>
      <c r="D56" s="15">
        <f>SUM(E56:I56)</f>
        <v>13277</v>
      </c>
      <c r="E56" s="15">
        <v>0</v>
      </c>
      <c r="F56" s="15">
        <v>13277</v>
      </c>
      <c r="G56" s="15">
        <v>0</v>
      </c>
      <c r="H56" s="15">
        <v>0</v>
      </c>
      <c r="I56" s="15">
        <v>0</v>
      </c>
      <c r="J56" s="42"/>
      <c r="K56" s="42"/>
    </row>
    <row r="57" spans="1:227" ht="42" customHeight="1">
      <c r="A57" s="82"/>
      <c r="B57" s="87"/>
      <c r="C57" s="74" t="s">
        <v>16</v>
      </c>
      <c r="D57" s="15">
        <f t="shared" ref="D57:I57" si="17">SUM(D56:D56)</f>
        <v>13277</v>
      </c>
      <c r="E57" s="15">
        <f t="shared" si="17"/>
        <v>0</v>
      </c>
      <c r="F57" s="15">
        <f t="shared" si="17"/>
        <v>13277</v>
      </c>
      <c r="G57" s="15">
        <f t="shared" si="17"/>
        <v>0</v>
      </c>
      <c r="H57" s="15">
        <f t="shared" si="17"/>
        <v>0</v>
      </c>
      <c r="I57" s="15">
        <f t="shared" si="17"/>
        <v>0</v>
      </c>
      <c r="J57" s="42"/>
    </row>
    <row r="58" spans="1:227">
      <c r="A58" s="85" t="s">
        <v>57</v>
      </c>
      <c r="B58" s="105"/>
      <c r="C58" s="75">
        <v>2022</v>
      </c>
      <c r="D58" s="23">
        <f t="shared" ref="D58:G58" si="18">D61+D67+D79+D94+D100</f>
        <v>54988.5</v>
      </c>
      <c r="E58" s="23">
        <f t="shared" si="18"/>
        <v>0</v>
      </c>
      <c r="F58" s="23">
        <f t="shared" si="18"/>
        <v>40132.1</v>
      </c>
      <c r="G58" s="23">
        <f t="shared" si="18"/>
        <v>0</v>
      </c>
      <c r="H58" s="23">
        <f>H61+H67+H79+H94+H100</f>
        <v>14856.400000000001</v>
      </c>
      <c r="I58" s="23">
        <f>(I61+I67+I73+I79+I94+I147)</f>
        <v>0</v>
      </c>
      <c r="J58" s="40"/>
      <c r="K58" s="35"/>
      <c r="L58" s="35"/>
      <c r="M58" s="35"/>
      <c r="N58" s="3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</row>
    <row r="59" spans="1:227">
      <c r="A59" s="85"/>
      <c r="B59" s="106"/>
      <c r="C59" s="75">
        <v>2023</v>
      </c>
      <c r="D59" s="23">
        <f t="shared" ref="D59:G59" si="19">D62+D68+D74+D80+D95+D101</f>
        <v>65759</v>
      </c>
      <c r="E59" s="23">
        <f t="shared" si="19"/>
        <v>0</v>
      </c>
      <c r="F59" s="23">
        <f t="shared" si="19"/>
        <v>34603.4</v>
      </c>
      <c r="G59" s="23">
        <f t="shared" si="19"/>
        <v>0</v>
      </c>
      <c r="H59" s="23">
        <f>H62+H68+H74+H80+H95+H101</f>
        <v>31155.599999999999</v>
      </c>
      <c r="I59" s="23">
        <f>I62+I68+I74+I80+I95+I101</f>
        <v>0</v>
      </c>
      <c r="J59" s="40"/>
      <c r="K59" s="35"/>
      <c r="L59" s="35"/>
      <c r="M59" s="35"/>
      <c r="N59" s="35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</row>
    <row r="60" spans="1:227">
      <c r="A60" s="85"/>
      <c r="B60" s="107"/>
      <c r="C60" s="75" t="s">
        <v>16</v>
      </c>
      <c r="D60" s="16">
        <f t="shared" ref="D60:I60" si="20">SUM(D58:D59)</f>
        <v>120747.5</v>
      </c>
      <c r="E60" s="16">
        <f t="shared" si="20"/>
        <v>0</v>
      </c>
      <c r="F60" s="16">
        <f t="shared" si="20"/>
        <v>74735.5</v>
      </c>
      <c r="G60" s="16">
        <f t="shared" si="20"/>
        <v>0</v>
      </c>
      <c r="H60" s="16">
        <f t="shared" si="20"/>
        <v>46012</v>
      </c>
      <c r="I60" s="16">
        <f t="shared" si="20"/>
        <v>0</v>
      </c>
      <c r="J60" s="40"/>
      <c r="K60" s="35"/>
      <c r="L60" s="35"/>
      <c r="M60" s="35"/>
      <c r="N60" s="35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</row>
    <row r="61" spans="1:227">
      <c r="A61" s="85" t="s">
        <v>58</v>
      </c>
      <c r="B61" s="89"/>
      <c r="C61" s="75">
        <v>2022</v>
      </c>
      <c r="D61" s="16">
        <f t="shared" ref="D61:I62" si="21">D64</f>
        <v>18956.400000000001</v>
      </c>
      <c r="E61" s="16">
        <f t="shared" si="21"/>
        <v>0</v>
      </c>
      <c r="F61" s="16">
        <f t="shared" si="21"/>
        <v>13365.6</v>
      </c>
      <c r="G61" s="16">
        <f t="shared" si="21"/>
        <v>0</v>
      </c>
      <c r="H61" s="16">
        <f t="shared" si="21"/>
        <v>5590.8</v>
      </c>
      <c r="I61" s="16">
        <f t="shared" si="21"/>
        <v>0</v>
      </c>
      <c r="J61" s="40"/>
      <c r="K61" s="35"/>
      <c r="L61" s="35"/>
      <c r="M61" s="35"/>
      <c r="N61" s="35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</row>
    <row r="62" spans="1:227">
      <c r="A62" s="85"/>
      <c r="B62" s="86"/>
      <c r="C62" s="75">
        <v>2023</v>
      </c>
      <c r="D62" s="16">
        <f t="shared" si="21"/>
        <v>49077.9</v>
      </c>
      <c r="E62" s="16">
        <f t="shared" si="21"/>
        <v>0</v>
      </c>
      <c r="F62" s="16">
        <f t="shared" si="21"/>
        <v>34603.4</v>
      </c>
      <c r="G62" s="16">
        <f t="shared" si="21"/>
        <v>0</v>
      </c>
      <c r="H62" s="16">
        <f t="shared" si="21"/>
        <v>14474.5</v>
      </c>
      <c r="I62" s="16">
        <f t="shared" si="21"/>
        <v>0</v>
      </c>
      <c r="J62" s="40"/>
      <c r="K62" s="35"/>
      <c r="L62" s="35"/>
      <c r="M62" s="35"/>
      <c r="N62" s="35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</row>
    <row r="63" spans="1:227" ht="32.25" customHeight="1">
      <c r="A63" s="85"/>
      <c r="B63" s="87"/>
      <c r="C63" s="75" t="s">
        <v>16</v>
      </c>
      <c r="D63" s="23">
        <f t="shared" ref="D63:I63" si="22">SUM(D61:D62)</f>
        <v>68034.3</v>
      </c>
      <c r="E63" s="23">
        <f t="shared" si="22"/>
        <v>0</v>
      </c>
      <c r="F63" s="23">
        <f t="shared" si="22"/>
        <v>47969</v>
      </c>
      <c r="G63" s="23">
        <f t="shared" si="22"/>
        <v>0</v>
      </c>
      <c r="H63" s="23">
        <f t="shared" si="22"/>
        <v>20065.3</v>
      </c>
      <c r="I63" s="23">
        <f t="shared" si="22"/>
        <v>0</v>
      </c>
      <c r="J63" s="40"/>
      <c r="K63" s="35"/>
      <c r="L63" s="35"/>
      <c r="M63" s="35"/>
      <c r="N63" s="3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</row>
    <row r="64" spans="1:227">
      <c r="A64" s="81" t="s">
        <v>19</v>
      </c>
      <c r="B64" s="89"/>
      <c r="C64" s="74">
        <v>2022</v>
      </c>
      <c r="D64" s="15">
        <f>SUM(E64:I64)</f>
        <v>18956.400000000001</v>
      </c>
      <c r="E64" s="15">
        <v>0</v>
      </c>
      <c r="F64" s="15">
        <v>13365.6</v>
      </c>
      <c r="G64" s="15">
        <v>0</v>
      </c>
      <c r="H64" s="15">
        <v>5590.8</v>
      </c>
      <c r="I64" s="15">
        <v>0</v>
      </c>
      <c r="J64" s="42"/>
    </row>
    <row r="65" spans="1:227">
      <c r="A65" s="84"/>
      <c r="B65" s="86"/>
      <c r="C65" s="74">
        <v>2023</v>
      </c>
      <c r="D65" s="15">
        <f>SUM(E65:I65)</f>
        <v>49077.9</v>
      </c>
      <c r="E65" s="15">
        <v>0</v>
      </c>
      <c r="F65" s="15">
        <v>34603.4</v>
      </c>
      <c r="G65" s="15">
        <v>0</v>
      </c>
      <c r="H65" s="15">
        <v>14474.5</v>
      </c>
      <c r="I65" s="15">
        <v>0</v>
      </c>
      <c r="J65" s="42"/>
    </row>
    <row r="66" spans="1:227">
      <c r="A66" s="82"/>
      <c r="B66" s="87"/>
      <c r="C66" s="74" t="s">
        <v>16</v>
      </c>
      <c r="D66" s="15">
        <f t="shared" ref="D66:I66" si="23">SUM(D64:D65)</f>
        <v>68034.3</v>
      </c>
      <c r="E66" s="15">
        <f t="shared" si="23"/>
        <v>0</v>
      </c>
      <c r="F66" s="15">
        <f t="shared" si="23"/>
        <v>47969</v>
      </c>
      <c r="G66" s="15">
        <f t="shared" si="23"/>
        <v>0</v>
      </c>
      <c r="H66" s="15">
        <f t="shared" si="23"/>
        <v>20065.3</v>
      </c>
      <c r="I66" s="15">
        <f t="shared" si="23"/>
        <v>0</v>
      </c>
      <c r="J66" s="42"/>
    </row>
    <row r="67" spans="1:227">
      <c r="A67" s="85" t="s">
        <v>59</v>
      </c>
      <c r="B67" s="89"/>
      <c r="C67" s="75">
        <v>2022</v>
      </c>
      <c r="D67" s="16">
        <f t="shared" ref="D67:I69" si="24">D70</f>
        <v>7300</v>
      </c>
      <c r="E67" s="16">
        <f t="shared" si="24"/>
        <v>0</v>
      </c>
      <c r="F67" s="16">
        <f t="shared" si="24"/>
        <v>6862</v>
      </c>
      <c r="G67" s="16">
        <f t="shared" si="24"/>
        <v>0</v>
      </c>
      <c r="H67" s="16">
        <f t="shared" si="24"/>
        <v>438</v>
      </c>
      <c r="I67" s="16">
        <f t="shared" si="24"/>
        <v>0</v>
      </c>
      <c r="J67" s="40"/>
      <c r="K67" s="35"/>
      <c r="L67" s="35"/>
      <c r="M67" s="35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</row>
    <row r="68" spans="1:227">
      <c r="A68" s="85"/>
      <c r="B68" s="86"/>
      <c r="C68" s="75">
        <v>2023</v>
      </c>
      <c r="D68" s="16">
        <f t="shared" si="24"/>
        <v>6300</v>
      </c>
      <c r="E68" s="16">
        <f t="shared" si="24"/>
        <v>0</v>
      </c>
      <c r="F68" s="16">
        <f t="shared" si="24"/>
        <v>0</v>
      </c>
      <c r="G68" s="16">
        <f t="shared" si="24"/>
        <v>0</v>
      </c>
      <c r="H68" s="16">
        <f t="shared" si="24"/>
        <v>6300</v>
      </c>
      <c r="I68" s="16">
        <f t="shared" si="24"/>
        <v>0</v>
      </c>
      <c r="J68" s="40"/>
      <c r="K68" s="35"/>
      <c r="L68" s="35"/>
      <c r="M68" s="35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</row>
    <row r="69" spans="1:227" ht="27.75" customHeight="1">
      <c r="A69" s="85"/>
      <c r="B69" s="87"/>
      <c r="C69" s="75" t="s">
        <v>16</v>
      </c>
      <c r="D69" s="16">
        <f t="shared" si="24"/>
        <v>13600</v>
      </c>
      <c r="E69" s="16">
        <f t="shared" si="24"/>
        <v>0</v>
      </c>
      <c r="F69" s="16">
        <f t="shared" si="24"/>
        <v>6862</v>
      </c>
      <c r="G69" s="16">
        <f t="shared" si="24"/>
        <v>0</v>
      </c>
      <c r="H69" s="16">
        <f t="shared" si="24"/>
        <v>6738</v>
      </c>
      <c r="I69" s="16">
        <f t="shared" si="24"/>
        <v>0</v>
      </c>
      <c r="J69" s="40"/>
      <c r="K69" s="35"/>
      <c r="L69" s="35"/>
      <c r="M69" s="35"/>
      <c r="N69" s="3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</row>
    <row r="70" spans="1:227">
      <c r="A70" s="81" t="s">
        <v>20</v>
      </c>
      <c r="B70" s="89"/>
      <c r="C70" s="74">
        <v>2022</v>
      </c>
      <c r="D70" s="15">
        <f>SUM(E70:I70)</f>
        <v>7300</v>
      </c>
      <c r="E70" s="15">
        <v>0</v>
      </c>
      <c r="F70" s="15">
        <v>6862</v>
      </c>
      <c r="G70" s="15">
        <v>0</v>
      </c>
      <c r="H70" s="15">
        <v>438</v>
      </c>
      <c r="I70" s="15">
        <v>0</v>
      </c>
      <c r="J70" s="42"/>
    </row>
    <row r="71" spans="1:227">
      <c r="A71" s="84"/>
      <c r="B71" s="86"/>
      <c r="C71" s="74">
        <v>2023</v>
      </c>
      <c r="D71" s="15">
        <f>SUM(E71:I71)</f>
        <v>6300</v>
      </c>
      <c r="E71" s="15">
        <v>0</v>
      </c>
      <c r="F71" s="15">
        <v>0</v>
      </c>
      <c r="G71" s="15">
        <v>0</v>
      </c>
      <c r="H71" s="15">
        <v>6300</v>
      </c>
      <c r="I71" s="15">
        <v>0</v>
      </c>
      <c r="J71" s="42"/>
    </row>
    <row r="72" spans="1:227">
      <c r="A72" s="82"/>
      <c r="B72" s="87"/>
      <c r="C72" s="74" t="s">
        <v>16</v>
      </c>
      <c r="D72" s="15">
        <f t="shared" ref="D72:I72" si="25">SUM(D70:D71)</f>
        <v>13600</v>
      </c>
      <c r="E72" s="15">
        <f t="shared" si="25"/>
        <v>0</v>
      </c>
      <c r="F72" s="15">
        <f t="shared" si="25"/>
        <v>6862</v>
      </c>
      <c r="G72" s="15">
        <f t="shared" si="25"/>
        <v>0</v>
      </c>
      <c r="H72" s="15">
        <f t="shared" si="25"/>
        <v>6738</v>
      </c>
      <c r="I72" s="15">
        <f t="shared" si="25"/>
        <v>0</v>
      </c>
      <c r="J72" s="42"/>
    </row>
    <row r="73" spans="1:227" ht="30" customHeight="1">
      <c r="A73" s="85" t="s">
        <v>60</v>
      </c>
      <c r="B73" s="89"/>
      <c r="C73" s="75">
        <v>2022</v>
      </c>
      <c r="D73" s="16">
        <f t="shared" ref="D73:H74" si="26">D76</f>
        <v>0</v>
      </c>
      <c r="E73" s="16">
        <f t="shared" si="26"/>
        <v>0</v>
      </c>
      <c r="F73" s="16">
        <f t="shared" si="26"/>
        <v>0</v>
      </c>
      <c r="G73" s="16">
        <f t="shared" si="26"/>
        <v>0</v>
      </c>
      <c r="H73" s="16">
        <f t="shared" si="26"/>
        <v>0</v>
      </c>
      <c r="I73" s="16">
        <v>0</v>
      </c>
      <c r="J73" s="40"/>
      <c r="K73" s="35"/>
      <c r="L73" s="35"/>
      <c r="M73" s="35"/>
      <c r="N73" s="35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</row>
    <row r="74" spans="1:227" ht="27" customHeight="1">
      <c r="A74" s="85"/>
      <c r="B74" s="86"/>
      <c r="C74" s="75">
        <v>2023</v>
      </c>
      <c r="D74" s="16">
        <f t="shared" si="26"/>
        <v>0</v>
      </c>
      <c r="E74" s="16">
        <f t="shared" si="26"/>
        <v>0</v>
      </c>
      <c r="F74" s="16">
        <f t="shared" si="26"/>
        <v>0</v>
      </c>
      <c r="G74" s="16">
        <f t="shared" si="26"/>
        <v>0</v>
      </c>
      <c r="H74" s="16">
        <f t="shared" si="26"/>
        <v>0</v>
      </c>
      <c r="I74" s="16">
        <f>I77</f>
        <v>0</v>
      </c>
      <c r="J74" s="40"/>
      <c r="K74" s="35"/>
      <c r="L74" s="35"/>
      <c r="M74" s="35"/>
      <c r="N74" s="35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</row>
    <row r="75" spans="1:227" ht="39" customHeight="1">
      <c r="A75" s="85"/>
      <c r="B75" s="87"/>
      <c r="C75" s="75" t="s">
        <v>16</v>
      </c>
      <c r="D75" s="16">
        <f>SUM(D73:D74)</f>
        <v>0</v>
      </c>
      <c r="E75" s="16">
        <f>E78</f>
        <v>0</v>
      </c>
      <c r="F75" s="16">
        <f>F78</f>
        <v>0</v>
      </c>
      <c r="G75" s="16">
        <f>G78</f>
        <v>0</v>
      </c>
      <c r="H75" s="16">
        <f>H78</f>
        <v>0</v>
      </c>
      <c r="I75" s="16">
        <f>I78</f>
        <v>0</v>
      </c>
      <c r="J75" s="40"/>
      <c r="K75" s="35"/>
      <c r="L75" s="35"/>
      <c r="M75" s="35"/>
      <c r="N75" s="35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</row>
    <row r="76" spans="1:227">
      <c r="A76" s="81" t="s">
        <v>21</v>
      </c>
      <c r="B76" s="89"/>
      <c r="C76" s="74">
        <v>2022</v>
      </c>
      <c r="D76" s="15">
        <f>SUM(E76:I76)</f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42"/>
    </row>
    <row r="77" spans="1:227">
      <c r="A77" s="84"/>
      <c r="B77" s="86"/>
      <c r="C77" s="74">
        <v>2023</v>
      </c>
      <c r="D77" s="15">
        <f>SUM(E77:I77)</f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42"/>
    </row>
    <row r="78" spans="1:227">
      <c r="A78" s="82"/>
      <c r="B78" s="87"/>
      <c r="C78" s="74" t="s">
        <v>16</v>
      </c>
      <c r="D78" s="15">
        <f t="shared" ref="D78:I78" si="27">SUM(D76:D77)</f>
        <v>0</v>
      </c>
      <c r="E78" s="15">
        <f t="shared" si="27"/>
        <v>0</v>
      </c>
      <c r="F78" s="15">
        <f t="shared" si="27"/>
        <v>0</v>
      </c>
      <c r="G78" s="15">
        <f t="shared" si="27"/>
        <v>0</v>
      </c>
      <c r="H78" s="15">
        <f t="shared" si="27"/>
        <v>0</v>
      </c>
      <c r="I78" s="15">
        <f t="shared" si="27"/>
        <v>0</v>
      </c>
      <c r="J78" s="42"/>
    </row>
    <row r="79" spans="1:227" ht="30" customHeight="1">
      <c r="A79" s="85" t="s">
        <v>61</v>
      </c>
      <c r="B79" s="108"/>
      <c r="C79" s="75">
        <v>2022</v>
      </c>
      <c r="D79" s="16">
        <f t="shared" ref="D79:I80" si="28">D82+D85+D88+D91</f>
        <v>28732.1</v>
      </c>
      <c r="E79" s="16">
        <f t="shared" si="28"/>
        <v>0</v>
      </c>
      <c r="F79" s="16">
        <f t="shared" si="28"/>
        <v>19904.5</v>
      </c>
      <c r="G79" s="16">
        <f t="shared" si="28"/>
        <v>0</v>
      </c>
      <c r="H79" s="16">
        <f t="shared" si="28"/>
        <v>8827.6</v>
      </c>
      <c r="I79" s="16">
        <f t="shared" si="28"/>
        <v>0</v>
      </c>
      <c r="J79" s="40"/>
      <c r="K79" s="35"/>
      <c r="L79" s="35"/>
      <c r="M79" s="35"/>
      <c r="N79" s="35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</row>
    <row r="80" spans="1:227" ht="33.75" customHeight="1">
      <c r="A80" s="85"/>
      <c r="B80" s="109"/>
      <c r="C80" s="75">
        <v>2023</v>
      </c>
      <c r="D80" s="16">
        <f t="shared" si="28"/>
        <v>3189.8</v>
      </c>
      <c r="E80" s="16">
        <f t="shared" si="28"/>
        <v>0</v>
      </c>
      <c r="F80" s="16">
        <f t="shared" si="28"/>
        <v>0</v>
      </c>
      <c r="G80" s="16">
        <f t="shared" si="28"/>
        <v>0</v>
      </c>
      <c r="H80" s="16">
        <f t="shared" si="28"/>
        <v>3189.8</v>
      </c>
      <c r="I80" s="16">
        <f t="shared" si="28"/>
        <v>0</v>
      </c>
      <c r="J80" s="40"/>
      <c r="K80" s="35"/>
      <c r="L80" s="35"/>
      <c r="M80" s="35"/>
      <c r="N80" s="35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</row>
    <row r="81" spans="1:227" ht="54.75" customHeight="1">
      <c r="A81" s="85"/>
      <c r="B81" s="109"/>
      <c r="C81" s="75" t="s">
        <v>16</v>
      </c>
      <c r="D81" s="16">
        <f t="shared" ref="D81:I81" si="29">SUM(D79:D80)</f>
        <v>31921.899999999998</v>
      </c>
      <c r="E81" s="16">
        <f t="shared" si="29"/>
        <v>0</v>
      </c>
      <c r="F81" s="16">
        <f t="shared" si="29"/>
        <v>19904.5</v>
      </c>
      <c r="G81" s="16">
        <f t="shared" si="29"/>
        <v>0</v>
      </c>
      <c r="H81" s="16">
        <f t="shared" si="29"/>
        <v>12017.400000000001</v>
      </c>
      <c r="I81" s="16">
        <f t="shared" si="29"/>
        <v>0</v>
      </c>
      <c r="J81" s="40"/>
      <c r="K81" s="35"/>
      <c r="L81" s="35"/>
      <c r="M81" s="35"/>
      <c r="N81" s="35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</row>
    <row r="82" spans="1:227">
      <c r="A82" s="81" t="s">
        <v>22</v>
      </c>
      <c r="B82" s="89"/>
      <c r="C82" s="74">
        <v>2022</v>
      </c>
      <c r="D82" s="15">
        <f>SUM(E82:I82)</f>
        <v>6446.1</v>
      </c>
      <c r="E82" s="15">
        <v>0</v>
      </c>
      <c r="F82" s="15">
        <v>0</v>
      </c>
      <c r="G82" s="15">
        <v>0</v>
      </c>
      <c r="H82" s="15">
        <v>6446.1</v>
      </c>
      <c r="I82" s="15">
        <v>0</v>
      </c>
      <c r="J82" s="42"/>
    </row>
    <row r="83" spans="1:227">
      <c r="A83" s="84"/>
      <c r="B83" s="86"/>
      <c r="C83" s="74">
        <v>2023</v>
      </c>
      <c r="D83" s="15">
        <f>SUM(E83:I83)</f>
        <v>3144.8</v>
      </c>
      <c r="E83" s="15">
        <v>0</v>
      </c>
      <c r="F83" s="15">
        <v>0</v>
      </c>
      <c r="G83" s="15">
        <v>0</v>
      </c>
      <c r="H83" s="15">
        <v>3144.8</v>
      </c>
      <c r="I83" s="15">
        <v>0</v>
      </c>
      <c r="J83" s="42"/>
    </row>
    <row r="84" spans="1:227">
      <c r="A84" s="82"/>
      <c r="B84" s="87"/>
      <c r="C84" s="74" t="s">
        <v>16</v>
      </c>
      <c r="D84" s="15">
        <f t="shared" ref="D84:I84" si="30">SUM(D82:D83)</f>
        <v>9590.9000000000015</v>
      </c>
      <c r="E84" s="15">
        <f t="shared" si="30"/>
        <v>0</v>
      </c>
      <c r="F84" s="15">
        <f t="shared" si="30"/>
        <v>0</v>
      </c>
      <c r="G84" s="15">
        <f t="shared" si="30"/>
        <v>0</v>
      </c>
      <c r="H84" s="15">
        <f t="shared" si="30"/>
        <v>9590.9000000000015</v>
      </c>
      <c r="I84" s="15">
        <f t="shared" si="30"/>
        <v>0</v>
      </c>
      <c r="J84" s="42"/>
    </row>
    <row r="85" spans="1:227" s="6" customFormat="1">
      <c r="A85" s="81" t="s">
        <v>69</v>
      </c>
      <c r="B85" s="89"/>
      <c r="C85" s="74">
        <v>2022</v>
      </c>
      <c r="D85" s="15">
        <f>SUM(E85:I85)</f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42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</row>
    <row r="86" spans="1:227" s="6" customFormat="1">
      <c r="A86" s="84"/>
      <c r="B86" s="86"/>
      <c r="C86" s="74">
        <v>2023</v>
      </c>
      <c r="D86" s="15">
        <f>SUM(E86:I86)</f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42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</row>
    <row r="87" spans="1:227" s="6" customFormat="1">
      <c r="A87" s="82"/>
      <c r="B87" s="87"/>
      <c r="C87" s="74" t="s">
        <v>16</v>
      </c>
      <c r="D87" s="15">
        <f t="shared" ref="D87:I87" si="31">SUM(D85:D86)</f>
        <v>0</v>
      </c>
      <c r="E87" s="15">
        <f t="shared" si="31"/>
        <v>0</v>
      </c>
      <c r="F87" s="15">
        <f t="shared" si="31"/>
        <v>0</v>
      </c>
      <c r="G87" s="15">
        <f t="shared" si="31"/>
        <v>0</v>
      </c>
      <c r="H87" s="15">
        <f t="shared" si="31"/>
        <v>0</v>
      </c>
      <c r="I87" s="15">
        <f t="shared" si="31"/>
        <v>0</v>
      </c>
      <c r="J87" s="42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</row>
    <row r="88" spans="1:227" s="6" customFormat="1">
      <c r="A88" s="81" t="s">
        <v>0</v>
      </c>
      <c r="B88" s="89"/>
      <c r="C88" s="74">
        <v>2022</v>
      </c>
      <c r="D88" s="15">
        <f>SUM(E88:I88)</f>
        <v>650.70000000000005</v>
      </c>
      <c r="E88" s="15">
        <v>0</v>
      </c>
      <c r="F88" s="15">
        <v>0</v>
      </c>
      <c r="G88" s="15">
        <v>0</v>
      </c>
      <c r="H88" s="15">
        <v>650.70000000000005</v>
      </c>
      <c r="I88" s="15">
        <v>0</v>
      </c>
      <c r="J88" s="42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</row>
    <row r="89" spans="1:227" s="6" customFormat="1">
      <c r="A89" s="84"/>
      <c r="B89" s="86"/>
      <c r="C89" s="74">
        <v>2023</v>
      </c>
      <c r="D89" s="15">
        <f>SUM(E89:I89)</f>
        <v>45</v>
      </c>
      <c r="E89" s="15">
        <v>0</v>
      </c>
      <c r="F89" s="15">
        <v>0</v>
      </c>
      <c r="G89" s="15">
        <v>0</v>
      </c>
      <c r="H89" s="15">
        <v>45</v>
      </c>
      <c r="I89" s="15">
        <v>0</v>
      </c>
      <c r="J89" s="42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</row>
    <row r="90" spans="1:227" s="6" customFormat="1">
      <c r="A90" s="82"/>
      <c r="B90" s="87"/>
      <c r="C90" s="74" t="s">
        <v>16</v>
      </c>
      <c r="D90" s="15">
        <f t="shared" ref="D90:I90" si="32">SUM(D88:D89)</f>
        <v>695.7</v>
      </c>
      <c r="E90" s="15">
        <f t="shared" si="32"/>
        <v>0</v>
      </c>
      <c r="F90" s="15">
        <f t="shared" si="32"/>
        <v>0</v>
      </c>
      <c r="G90" s="15">
        <f t="shared" si="32"/>
        <v>0</v>
      </c>
      <c r="H90" s="15">
        <f t="shared" si="32"/>
        <v>695.7</v>
      </c>
      <c r="I90" s="15">
        <f t="shared" si="32"/>
        <v>0</v>
      </c>
      <c r="J90" s="42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</row>
    <row r="91" spans="1:227" s="6" customFormat="1">
      <c r="A91" s="81" t="s">
        <v>23</v>
      </c>
      <c r="B91" s="89"/>
      <c r="C91" s="74">
        <v>2022</v>
      </c>
      <c r="D91" s="15">
        <f>SUM(E91:I91)</f>
        <v>21635.3</v>
      </c>
      <c r="E91" s="15">
        <v>0</v>
      </c>
      <c r="F91" s="15">
        <v>19904.5</v>
      </c>
      <c r="G91" s="15">
        <v>0</v>
      </c>
      <c r="H91" s="15">
        <v>1730.8</v>
      </c>
      <c r="I91" s="15">
        <v>0</v>
      </c>
      <c r="J91" s="42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</row>
    <row r="92" spans="1:227" s="6" customFormat="1">
      <c r="A92" s="84"/>
      <c r="B92" s="86"/>
      <c r="C92" s="74">
        <v>2023</v>
      </c>
      <c r="D92" s="15">
        <f>SUM(E92:I92)</f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42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</row>
    <row r="93" spans="1:227" s="6" customFormat="1">
      <c r="A93" s="82"/>
      <c r="B93" s="87"/>
      <c r="C93" s="74" t="s">
        <v>16</v>
      </c>
      <c r="D93" s="15">
        <f t="shared" ref="D93:I93" si="33">SUM(D91:D92)</f>
        <v>21635.3</v>
      </c>
      <c r="E93" s="15">
        <f t="shared" si="33"/>
        <v>0</v>
      </c>
      <c r="F93" s="15">
        <f t="shared" si="33"/>
        <v>19904.5</v>
      </c>
      <c r="G93" s="15">
        <f t="shared" si="33"/>
        <v>0</v>
      </c>
      <c r="H93" s="15">
        <f t="shared" si="33"/>
        <v>1730.8</v>
      </c>
      <c r="I93" s="15">
        <f t="shared" si="33"/>
        <v>0</v>
      </c>
      <c r="J93" s="42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</row>
    <row r="94" spans="1:227" s="6" customFormat="1">
      <c r="A94" s="85" t="s">
        <v>62</v>
      </c>
      <c r="B94" s="89"/>
      <c r="C94" s="75">
        <v>2022</v>
      </c>
      <c r="D94" s="16">
        <f t="shared" ref="D94:H95" si="34">D97</f>
        <v>0</v>
      </c>
      <c r="E94" s="16">
        <f t="shared" si="34"/>
        <v>0</v>
      </c>
      <c r="F94" s="16">
        <f t="shared" si="34"/>
        <v>0</v>
      </c>
      <c r="G94" s="16">
        <f t="shared" si="34"/>
        <v>0</v>
      </c>
      <c r="H94" s="16">
        <f t="shared" si="34"/>
        <v>0</v>
      </c>
      <c r="I94" s="16">
        <v>0</v>
      </c>
      <c r="J94" s="40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</row>
    <row r="95" spans="1:227" s="6" customFormat="1">
      <c r="A95" s="85"/>
      <c r="B95" s="86"/>
      <c r="C95" s="75">
        <v>2023</v>
      </c>
      <c r="D95" s="16">
        <f t="shared" si="34"/>
        <v>7191.3</v>
      </c>
      <c r="E95" s="16">
        <f t="shared" si="34"/>
        <v>0</v>
      </c>
      <c r="F95" s="16">
        <f t="shared" si="34"/>
        <v>0</v>
      </c>
      <c r="G95" s="16">
        <f t="shared" si="34"/>
        <v>0</v>
      </c>
      <c r="H95" s="16">
        <f t="shared" si="34"/>
        <v>7191.3</v>
      </c>
      <c r="I95" s="16">
        <f>I98</f>
        <v>0</v>
      </c>
      <c r="J95" s="4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</row>
    <row r="96" spans="1:227" s="6" customFormat="1">
      <c r="A96" s="85"/>
      <c r="B96" s="87"/>
      <c r="C96" s="75" t="s">
        <v>16</v>
      </c>
      <c r="D96" s="16">
        <f t="shared" ref="D96:I96" si="35">SUM(D94:D95)</f>
        <v>7191.3</v>
      </c>
      <c r="E96" s="16">
        <f t="shared" si="35"/>
        <v>0</v>
      </c>
      <c r="F96" s="16">
        <f t="shared" si="35"/>
        <v>0</v>
      </c>
      <c r="G96" s="16">
        <f t="shared" si="35"/>
        <v>0</v>
      </c>
      <c r="H96" s="16">
        <f t="shared" si="35"/>
        <v>7191.3</v>
      </c>
      <c r="I96" s="16">
        <f t="shared" si="35"/>
        <v>0</v>
      </c>
      <c r="J96" s="4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</row>
    <row r="97" spans="1:227" s="6" customFormat="1">
      <c r="A97" s="81" t="s">
        <v>24</v>
      </c>
      <c r="B97" s="89"/>
      <c r="C97" s="74">
        <v>2022</v>
      </c>
      <c r="D97" s="15">
        <f>SUM(E97:I97)</f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42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</row>
    <row r="98" spans="1:227" s="6" customFormat="1" ht="20.25" customHeight="1">
      <c r="A98" s="84"/>
      <c r="B98" s="86"/>
      <c r="C98" s="74">
        <v>2023</v>
      </c>
      <c r="D98" s="15">
        <f>SUM(E98:I98)</f>
        <v>7191.3</v>
      </c>
      <c r="E98" s="15">
        <v>0</v>
      </c>
      <c r="F98" s="15">
        <v>0</v>
      </c>
      <c r="G98" s="15">
        <v>0</v>
      </c>
      <c r="H98" s="15">
        <v>7191.3</v>
      </c>
      <c r="I98" s="15">
        <v>0</v>
      </c>
      <c r="J98" s="42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</row>
    <row r="99" spans="1:227" s="6" customFormat="1" ht="18" customHeight="1">
      <c r="A99" s="82"/>
      <c r="B99" s="87"/>
      <c r="C99" s="74" t="s">
        <v>16</v>
      </c>
      <c r="D99" s="15">
        <f t="shared" ref="D99:I99" si="36">SUM(D97:D98)</f>
        <v>7191.3</v>
      </c>
      <c r="E99" s="15">
        <f t="shared" si="36"/>
        <v>0</v>
      </c>
      <c r="F99" s="15">
        <f t="shared" si="36"/>
        <v>0</v>
      </c>
      <c r="G99" s="15">
        <f t="shared" si="36"/>
        <v>0</v>
      </c>
      <c r="H99" s="15">
        <f t="shared" si="36"/>
        <v>7191.3</v>
      </c>
      <c r="I99" s="15">
        <f t="shared" si="36"/>
        <v>0</v>
      </c>
      <c r="J99" s="42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</row>
    <row r="100" spans="1:227" s="6" customFormat="1" ht="18" customHeight="1">
      <c r="A100" s="85" t="s">
        <v>63</v>
      </c>
      <c r="B100" s="89"/>
      <c r="C100" s="75">
        <v>2022</v>
      </c>
      <c r="D100" s="16">
        <f t="shared" ref="D100:H101" si="37">D103</f>
        <v>0</v>
      </c>
      <c r="E100" s="16">
        <f t="shared" si="37"/>
        <v>0</v>
      </c>
      <c r="F100" s="16">
        <f t="shared" si="37"/>
        <v>0</v>
      </c>
      <c r="G100" s="16">
        <f t="shared" si="37"/>
        <v>0</v>
      </c>
      <c r="H100" s="16">
        <f t="shared" si="37"/>
        <v>0</v>
      </c>
      <c r="I100" s="16">
        <v>0</v>
      </c>
      <c r="J100" s="40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</row>
    <row r="101" spans="1:227" s="6" customFormat="1" ht="18" customHeight="1">
      <c r="A101" s="85"/>
      <c r="B101" s="86"/>
      <c r="C101" s="75">
        <v>2023</v>
      </c>
      <c r="D101" s="16">
        <f t="shared" si="37"/>
        <v>0</v>
      </c>
      <c r="E101" s="16">
        <f t="shared" si="37"/>
        <v>0</v>
      </c>
      <c r="F101" s="16">
        <f t="shared" si="37"/>
        <v>0</v>
      </c>
      <c r="G101" s="16">
        <f t="shared" si="37"/>
        <v>0</v>
      </c>
      <c r="H101" s="16">
        <f t="shared" si="37"/>
        <v>0</v>
      </c>
      <c r="I101" s="16">
        <f>I104</f>
        <v>0</v>
      </c>
      <c r="J101" s="40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</row>
    <row r="102" spans="1:227" s="6" customFormat="1" ht="45" customHeight="1">
      <c r="A102" s="85"/>
      <c r="B102" s="87"/>
      <c r="C102" s="75" t="s">
        <v>16</v>
      </c>
      <c r="D102" s="16">
        <f t="shared" ref="D102:I102" si="38">SUM(D100:D101)</f>
        <v>0</v>
      </c>
      <c r="E102" s="16">
        <f t="shared" si="38"/>
        <v>0</v>
      </c>
      <c r="F102" s="16">
        <f t="shared" si="38"/>
        <v>0</v>
      </c>
      <c r="G102" s="16">
        <f t="shared" si="38"/>
        <v>0</v>
      </c>
      <c r="H102" s="16">
        <f t="shared" si="38"/>
        <v>0</v>
      </c>
      <c r="I102" s="16">
        <f t="shared" si="38"/>
        <v>0</v>
      </c>
      <c r="J102" s="40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</row>
    <row r="103" spans="1:227" s="6" customFormat="1" ht="18" customHeight="1">
      <c r="A103" s="81" t="s">
        <v>25</v>
      </c>
      <c r="B103" s="89"/>
      <c r="C103" s="74">
        <v>2022</v>
      </c>
      <c r="D103" s="15">
        <f>SUM(E103:I103)</f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42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</row>
    <row r="104" spans="1:227" s="6" customFormat="1" ht="24" customHeight="1">
      <c r="A104" s="84"/>
      <c r="B104" s="86"/>
      <c r="C104" s="74">
        <v>2023</v>
      </c>
      <c r="D104" s="15">
        <f>SUM(E104:I104)</f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42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</row>
    <row r="105" spans="1:227" s="6" customFormat="1" ht="33" customHeight="1">
      <c r="A105" s="82"/>
      <c r="B105" s="87"/>
      <c r="C105" s="74" t="s">
        <v>16</v>
      </c>
      <c r="D105" s="15">
        <f t="shared" ref="D105:I105" si="39">SUM(D103:D104)</f>
        <v>0</v>
      </c>
      <c r="E105" s="15">
        <f t="shared" si="39"/>
        <v>0</v>
      </c>
      <c r="F105" s="15">
        <f t="shared" si="39"/>
        <v>0</v>
      </c>
      <c r="G105" s="15">
        <f t="shared" si="39"/>
        <v>0</v>
      </c>
      <c r="H105" s="15">
        <f t="shared" si="39"/>
        <v>0</v>
      </c>
      <c r="I105" s="15">
        <f t="shared" si="39"/>
        <v>0</v>
      </c>
      <c r="J105" s="42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</row>
    <row r="106" spans="1:227" s="6" customFormat="1" ht="18" customHeight="1">
      <c r="A106" s="85" t="s">
        <v>64</v>
      </c>
      <c r="B106" s="105"/>
      <c r="C106" s="75">
        <v>2024</v>
      </c>
      <c r="D106" s="23">
        <f>D112</f>
        <v>3000</v>
      </c>
      <c r="E106" s="23">
        <f t="shared" ref="E106:I108" si="40">E112</f>
        <v>0</v>
      </c>
      <c r="F106" s="23">
        <f t="shared" si="40"/>
        <v>0</v>
      </c>
      <c r="G106" s="23">
        <f t="shared" si="40"/>
        <v>0</v>
      </c>
      <c r="H106" s="23">
        <f t="shared" si="40"/>
        <v>3000</v>
      </c>
      <c r="I106" s="23">
        <f t="shared" si="40"/>
        <v>0</v>
      </c>
      <c r="J106" s="40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</row>
    <row r="107" spans="1:227" s="6" customFormat="1" ht="18" customHeight="1">
      <c r="A107" s="85"/>
      <c r="B107" s="106"/>
      <c r="C107" s="75">
        <v>2025</v>
      </c>
      <c r="D107" s="23">
        <f>D113</f>
        <v>6575.9</v>
      </c>
      <c r="E107" s="23">
        <f t="shared" si="40"/>
        <v>0</v>
      </c>
      <c r="F107" s="23">
        <f t="shared" si="40"/>
        <v>0</v>
      </c>
      <c r="G107" s="23">
        <f t="shared" si="40"/>
        <v>0</v>
      </c>
      <c r="H107" s="23">
        <f>H113</f>
        <v>6575.9</v>
      </c>
      <c r="I107" s="23">
        <f>I113</f>
        <v>0</v>
      </c>
      <c r="J107" s="40"/>
      <c r="K107" s="40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</row>
    <row r="108" spans="1:227" s="6" customFormat="1" ht="18" customHeight="1">
      <c r="A108" s="85"/>
      <c r="B108" s="106"/>
      <c r="C108" s="75">
        <v>2026</v>
      </c>
      <c r="D108" s="23">
        <f>D114</f>
        <v>9980</v>
      </c>
      <c r="E108" s="23">
        <f t="shared" si="40"/>
        <v>0</v>
      </c>
      <c r="F108" s="23">
        <f t="shared" si="40"/>
        <v>0</v>
      </c>
      <c r="G108" s="23">
        <f t="shared" si="40"/>
        <v>0</v>
      </c>
      <c r="H108" s="23">
        <f t="shared" si="40"/>
        <v>9980</v>
      </c>
      <c r="I108" s="23">
        <f t="shared" si="40"/>
        <v>0</v>
      </c>
      <c r="J108" s="40"/>
      <c r="K108" s="40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</row>
    <row r="109" spans="1:227" s="6" customFormat="1" ht="18" customHeight="1">
      <c r="A109" s="85"/>
      <c r="B109" s="106"/>
      <c r="C109" s="75">
        <v>2027</v>
      </c>
      <c r="D109" s="23">
        <f>SUM(E109:I109)</f>
        <v>31308</v>
      </c>
      <c r="E109" s="23">
        <f>E115+E122</f>
        <v>0</v>
      </c>
      <c r="F109" s="23">
        <f>F115+F122</f>
        <v>0</v>
      </c>
      <c r="G109" s="23">
        <f>G115+G122</f>
        <v>0</v>
      </c>
      <c r="H109" s="23">
        <f>H115+H122</f>
        <v>31308</v>
      </c>
      <c r="I109" s="23">
        <f>I115+I122</f>
        <v>0</v>
      </c>
      <c r="J109" s="40"/>
      <c r="K109" s="40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</row>
    <row r="110" spans="1:227" s="6" customFormat="1" ht="18" customHeight="1">
      <c r="A110" s="85"/>
      <c r="B110" s="106"/>
      <c r="C110" s="75">
        <v>2028</v>
      </c>
      <c r="D110" s="23">
        <f>SUM(E110:I110)</f>
        <v>21328</v>
      </c>
      <c r="E110" s="23">
        <f t="shared" ref="E110:H110" si="41">E123</f>
        <v>0</v>
      </c>
      <c r="F110" s="23">
        <f t="shared" si="41"/>
        <v>0</v>
      </c>
      <c r="G110" s="23">
        <f t="shared" si="41"/>
        <v>0</v>
      </c>
      <c r="H110" s="23">
        <f t="shared" si="41"/>
        <v>21328</v>
      </c>
      <c r="I110" s="23">
        <f>I123</f>
        <v>0</v>
      </c>
      <c r="J110" s="40"/>
      <c r="K110" s="40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</row>
    <row r="111" spans="1:227" s="6" customFormat="1" ht="18" customHeight="1">
      <c r="A111" s="85"/>
      <c r="B111" s="107"/>
      <c r="C111" s="75" t="s">
        <v>16</v>
      </c>
      <c r="D111" s="16">
        <f>SUM(D106:D110)</f>
        <v>72191.899999999994</v>
      </c>
      <c r="E111" s="16">
        <f t="shared" ref="E111:H111" si="42">SUM(E106:E110)</f>
        <v>0</v>
      </c>
      <c r="F111" s="16">
        <f t="shared" si="42"/>
        <v>0</v>
      </c>
      <c r="G111" s="16">
        <f t="shared" si="42"/>
        <v>0</v>
      </c>
      <c r="H111" s="16">
        <f t="shared" si="42"/>
        <v>72191.899999999994</v>
      </c>
      <c r="I111" s="16">
        <f>SUM(I106:I110)</f>
        <v>0</v>
      </c>
      <c r="J111" s="4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</row>
    <row r="112" spans="1:227" s="6" customFormat="1" ht="24.75" customHeight="1">
      <c r="A112" s="85" t="s">
        <v>80</v>
      </c>
      <c r="B112" s="89"/>
      <c r="C112" s="75">
        <v>2024</v>
      </c>
      <c r="D112" s="16">
        <f t="shared" ref="D112:H115" si="43">D117</f>
        <v>3000</v>
      </c>
      <c r="E112" s="16">
        <f t="shared" si="43"/>
        <v>0</v>
      </c>
      <c r="F112" s="16">
        <f t="shared" si="43"/>
        <v>0</v>
      </c>
      <c r="G112" s="16">
        <f t="shared" si="43"/>
        <v>0</v>
      </c>
      <c r="H112" s="16">
        <f t="shared" si="43"/>
        <v>3000</v>
      </c>
      <c r="I112" s="16">
        <f>I117</f>
        <v>0</v>
      </c>
      <c r="J112" s="4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</row>
    <row r="113" spans="1:227" s="6" customFormat="1" ht="24.75" customHeight="1">
      <c r="A113" s="85"/>
      <c r="B113" s="86"/>
      <c r="C113" s="75">
        <v>2025</v>
      </c>
      <c r="D113" s="16">
        <f t="shared" si="43"/>
        <v>6575.9</v>
      </c>
      <c r="E113" s="16">
        <f t="shared" si="43"/>
        <v>0</v>
      </c>
      <c r="F113" s="16">
        <f t="shared" si="43"/>
        <v>0</v>
      </c>
      <c r="G113" s="16">
        <f t="shared" si="43"/>
        <v>0</v>
      </c>
      <c r="H113" s="16">
        <f t="shared" si="43"/>
        <v>6575.9</v>
      </c>
      <c r="I113" s="16">
        <f>I118</f>
        <v>0</v>
      </c>
      <c r="J113" s="40"/>
      <c r="K113" s="4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</row>
    <row r="114" spans="1:227" s="6" customFormat="1" ht="22.5" customHeight="1">
      <c r="A114" s="85"/>
      <c r="B114" s="86"/>
      <c r="C114" s="75">
        <v>2026</v>
      </c>
      <c r="D114" s="16">
        <f t="shared" si="43"/>
        <v>9980</v>
      </c>
      <c r="E114" s="16">
        <f t="shared" si="43"/>
        <v>0</v>
      </c>
      <c r="F114" s="16">
        <f t="shared" si="43"/>
        <v>0</v>
      </c>
      <c r="G114" s="16">
        <f t="shared" si="43"/>
        <v>0</v>
      </c>
      <c r="H114" s="16">
        <f t="shared" si="43"/>
        <v>9980</v>
      </c>
      <c r="I114" s="16">
        <f>I119</f>
        <v>0</v>
      </c>
      <c r="J114" s="40"/>
      <c r="K114" s="4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</row>
    <row r="115" spans="1:227" s="6" customFormat="1" ht="22.5" customHeight="1">
      <c r="A115" s="85"/>
      <c r="B115" s="86"/>
      <c r="C115" s="75">
        <v>2027</v>
      </c>
      <c r="D115" s="16">
        <f t="shared" si="43"/>
        <v>9980</v>
      </c>
      <c r="E115" s="16">
        <f t="shared" si="43"/>
        <v>0</v>
      </c>
      <c r="F115" s="16">
        <f t="shared" si="43"/>
        <v>0</v>
      </c>
      <c r="G115" s="16">
        <f t="shared" si="43"/>
        <v>0</v>
      </c>
      <c r="H115" s="16">
        <f t="shared" si="43"/>
        <v>9980</v>
      </c>
      <c r="I115" s="16">
        <f>I120</f>
        <v>0</v>
      </c>
      <c r="J115" s="40"/>
      <c r="K115" s="4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</row>
    <row r="116" spans="1:227" s="6" customFormat="1" ht="52.5" customHeight="1">
      <c r="A116" s="85"/>
      <c r="B116" s="87"/>
      <c r="C116" s="75" t="s">
        <v>16</v>
      </c>
      <c r="D116" s="16">
        <f>SUM(D112:D115)</f>
        <v>29535.9</v>
      </c>
      <c r="E116" s="16">
        <f t="shared" ref="E116:I116" si="44">SUM(E112:E115)</f>
        <v>0</v>
      </c>
      <c r="F116" s="16">
        <f t="shared" si="44"/>
        <v>0</v>
      </c>
      <c r="G116" s="16">
        <f t="shared" si="44"/>
        <v>0</v>
      </c>
      <c r="H116" s="16">
        <f t="shared" si="44"/>
        <v>29535.9</v>
      </c>
      <c r="I116" s="16">
        <f t="shared" si="44"/>
        <v>0</v>
      </c>
      <c r="J116" s="4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</row>
    <row r="117" spans="1:227" s="6" customFormat="1" ht="18" customHeight="1">
      <c r="A117" s="81" t="s">
        <v>0</v>
      </c>
      <c r="B117" s="89"/>
      <c r="C117" s="74">
        <v>2024</v>
      </c>
      <c r="D117" s="15">
        <f>SUM(E117:I117)</f>
        <v>3000</v>
      </c>
      <c r="E117" s="15">
        <v>0</v>
      </c>
      <c r="F117" s="15">
        <v>0</v>
      </c>
      <c r="G117" s="15">
        <v>0</v>
      </c>
      <c r="H117" s="15">
        <v>3000</v>
      </c>
      <c r="I117" s="15">
        <v>0</v>
      </c>
      <c r="J117" s="42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</row>
    <row r="118" spans="1:227" s="6" customFormat="1" ht="18" customHeight="1">
      <c r="A118" s="84"/>
      <c r="B118" s="86"/>
      <c r="C118" s="74">
        <v>2025</v>
      </c>
      <c r="D118" s="15">
        <f>SUM(E118:I118)</f>
        <v>6575.9</v>
      </c>
      <c r="E118" s="15">
        <v>0</v>
      </c>
      <c r="F118" s="15">
        <v>0</v>
      </c>
      <c r="G118" s="15">
        <v>0</v>
      </c>
      <c r="H118" s="15">
        <v>6575.9</v>
      </c>
      <c r="I118" s="15">
        <v>0</v>
      </c>
      <c r="J118" s="42"/>
      <c r="K118" s="42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</row>
    <row r="119" spans="1:227" s="6" customFormat="1" ht="18" customHeight="1">
      <c r="A119" s="84"/>
      <c r="B119" s="86"/>
      <c r="C119" s="74">
        <v>2026</v>
      </c>
      <c r="D119" s="15">
        <f>SUM(E119:I119)</f>
        <v>9980</v>
      </c>
      <c r="E119" s="15">
        <v>0</v>
      </c>
      <c r="F119" s="15">
        <v>0</v>
      </c>
      <c r="G119" s="15">
        <v>0</v>
      </c>
      <c r="H119" s="15">
        <f>6907.5+3072.5</f>
        <v>9980</v>
      </c>
      <c r="I119" s="15">
        <v>0</v>
      </c>
      <c r="J119" s="49"/>
      <c r="K119" s="49"/>
      <c r="L119" s="49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</row>
    <row r="120" spans="1:227" s="6" customFormat="1" ht="18" customHeight="1">
      <c r="A120" s="84"/>
      <c r="B120" s="86"/>
      <c r="C120" s="74">
        <v>2027</v>
      </c>
      <c r="D120" s="15">
        <f>SUM(E120:I120)</f>
        <v>9980</v>
      </c>
      <c r="E120" s="15">
        <v>0</v>
      </c>
      <c r="F120" s="15">
        <v>0</v>
      </c>
      <c r="G120" s="15">
        <v>0</v>
      </c>
      <c r="H120" s="15">
        <v>9980</v>
      </c>
      <c r="I120" s="15">
        <v>0</v>
      </c>
      <c r="J120" s="49"/>
      <c r="K120" s="42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</row>
    <row r="121" spans="1:227" s="6" customFormat="1" ht="18" customHeight="1">
      <c r="A121" s="82"/>
      <c r="B121" s="87"/>
      <c r="C121" s="74" t="s">
        <v>16</v>
      </c>
      <c r="D121" s="15">
        <f>SUM(D117:D120)</f>
        <v>29535.9</v>
      </c>
      <c r="E121" s="15">
        <f t="shared" ref="E121:I121" si="45">SUM(E117:E120)</f>
        <v>0</v>
      </c>
      <c r="F121" s="15">
        <f t="shared" si="45"/>
        <v>0</v>
      </c>
      <c r="G121" s="15">
        <f t="shared" si="45"/>
        <v>0</v>
      </c>
      <c r="H121" s="15">
        <f t="shared" si="45"/>
        <v>29535.9</v>
      </c>
      <c r="I121" s="15">
        <f t="shared" si="45"/>
        <v>0</v>
      </c>
      <c r="J121" s="42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</row>
    <row r="122" spans="1:227" s="6" customFormat="1" ht="25.5" customHeight="1">
      <c r="A122" s="78" t="s">
        <v>95</v>
      </c>
      <c r="B122" s="89"/>
      <c r="C122" s="75">
        <v>2027</v>
      </c>
      <c r="D122" s="16">
        <f t="shared" ref="D122:H123" si="46">D125</f>
        <v>21328</v>
      </c>
      <c r="E122" s="16">
        <f t="shared" si="46"/>
        <v>0</v>
      </c>
      <c r="F122" s="16">
        <f t="shared" si="46"/>
        <v>0</v>
      </c>
      <c r="G122" s="16">
        <f t="shared" si="46"/>
        <v>0</v>
      </c>
      <c r="H122" s="16">
        <f t="shared" si="46"/>
        <v>21328</v>
      </c>
      <c r="I122" s="16">
        <f>I125</f>
        <v>0</v>
      </c>
      <c r="J122" s="40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</row>
    <row r="123" spans="1:227" s="6" customFormat="1" ht="25.5" customHeight="1">
      <c r="A123" s="88"/>
      <c r="B123" s="86"/>
      <c r="C123" s="75">
        <v>2028</v>
      </c>
      <c r="D123" s="16">
        <f>SUM(E123:I123)</f>
        <v>21328</v>
      </c>
      <c r="E123" s="16">
        <f t="shared" si="46"/>
        <v>0</v>
      </c>
      <c r="F123" s="16">
        <f t="shared" si="46"/>
        <v>0</v>
      </c>
      <c r="G123" s="16">
        <f t="shared" si="46"/>
        <v>0</v>
      </c>
      <c r="H123" s="16">
        <f t="shared" si="46"/>
        <v>21328</v>
      </c>
      <c r="I123" s="16">
        <f>I126</f>
        <v>0</v>
      </c>
      <c r="J123" s="40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</row>
    <row r="124" spans="1:227" s="6" customFormat="1" ht="27" customHeight="1">
      <c r="A124" s="79"/>
      <c r="B124" s="87"/>
      <c r="C124" s="75" t="s">
        <v>16</v>
      </c>
      <c r="D124" s="16">
        <f>SUM(D122:D123)</f>
        <v>42656</v>
      </c>
      <c r="E124" s="16">
        <f t="shared" ref="E124:H124" si="47">SUM(E122:E123)</f>
        <v>0</v>
      </c>
      <c r="F124" s="16">
        <f t="shared" si="47"/>
        <v>0</v>
      </c>
      <c r="G124" s="16">
        <f t="shared" si="47"/>
        <v>0</v>
      </c>
      <c r="H124" s="16">
        <f t="shared" si="47"/>
        <v>42656</v>
      </c>
      <c r="I124" s="16">
        <f>SUM(I122:I123)</f>
        <v>0</v>
      </c>
      <c r="J124" s="40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</row>
    <row r="125" spans="1:227" s="6" customFormat="1" ht="18" customHeight="1">
      <c r="A125" s="81" t="s">
        <v>33</v>
      </c>
      <c r="B125" s="89"/>
      <c r="C125" s="74">
        <v>2027</v>
      </c>
      <c r="D125" s="15">
        <f>SUM(E125:I125)</f>
        <v>21328</v>
      </c>
      <c r="E125" s="15">
        <v>0</v>
      </c>
      <c r="F125" s="15">
        <v>0</v>
      </c>
      <c r="G125" s="15">
        <v>0</v>
      </c>
      <c r="H125" s="15">
        <v>21328</v>
      </c>
      <c r="I125" s="15">
        <v>0</v>
      </c>
      <c r="J125" s="42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</row>
    <row r="126" spans="1:227" s="6" customFormat="1" ht="18" customHeight="1">
      <c r="A126" s="84"/>
      <c r="B126" s="86"/>
      <c r="C126" s="74">
        <v>2028</v>
      </c>
      <c r="D126" s="15">
        <f>SUM(E126:I126)</f>
        <v>21328</v>
      </c>
      <c r="E126" s="15">
        <v>0</v>
      </c>
      <c r="F126" s="15">
        <v>0</v>
      </c>
      <c r="G126" s="15">
        <v>0</v>
      </c>
      <c r="H126" s="15">
        <v>21328</v>
      </c>
      <c r="I126" s="15">
        <v>0</v>
      </c>
      <c r="J126" s="42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</row>
    <row r="127" spans="1:227" s="6" customFormat="1" ht="24.75" customHeight="1">
      <c r="A127" s="82"/>
      <c r="B127" s="87"/>
      <c r="C127" s="74" t="s">
        <v>16</v>
      </c>
      <c r="D127" s="15">
        <f>SUM(D125:D126)</f>
        <v>42656</v>
      </c>
      <c r="E127" s="15">
        <f t="shared" ref="E127:H127" si="48">SUM(E125:E126)</f>
        <v>0</v>
      </c>
      <c r="F127" s="15">
        <f t="shared" si="48"/>
        <v>0</v>
      </c>
      <c r="G127" s="15">
        <f t="shared" si="48"/>
        <v>0</v>
      </c>
      <c r="H127" s="15">
        <f t="shared" si="48"/>
        <v>42656</v>
      </c>
      <c r="I127" s="15">
        <f>SUM(I125:I126)</f>
        <v>0</v>
      </c>
      <c r="J127" s="42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</row>
    <row r="128" spans="1:227" s="6" customFormat="1" ht="18" customHeight="1">
      <c r="A128" s="78" t="s">
        <v>56</v>
      </c>
      <c r="B128" s="105"/>
      <c r="C128" s="75">
        <v>2024</v>
      </c>
      <c r="D128" s="23">
        <f t="shared" ref="D128:I128" si="49">D132+D141+D147+D155</f>
        <v>53744.4</v>
      </c>
      <c r="E128" s="23">
        <f t="shared" si="49"/>
        <v>729.8</v>
      </c>
      <c r="F128" s="23">
        <f t="shared" si="49"/>
        <v>41661.199999999997</v>
      </c>
      <c r="G128" s="23">
        <f t="shared" si="49"/>
        <v>9953.9</v>
      </c>
      <c r="H128" s="23">
        <f t="shared" si="49"/>
        <v>1399.5</v>
      </c>
      <c r="I128" s="23">
        <f t="shared" si="49"/>
        <v>0</v>
      </c>
      <c r="J128" s="40"/>
      <c r="L128" s="56"/>
      <c r="M128" s="3"/>
      <c r="N128" s="56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</row>
    <row r="129" spans="1:227" s="6" customFormat="1" ht="18" customHeight="1">
      <c r="A129" s="88"/>
      <c r="B129" s="106"/>
      <c r="C129" s="75">
        <v>2025</v>
      </c>
      <c r="D129" s="23">
        <f>SUM(E129:I129)</f>
        <v>15112.099999999999</v>
      </c>
      <c r="E129" s="23">
        <f>E133+E148</f>
        <v>249.5</v>
      </c>
      <c r="F129" s="23">
        <f>F133+F148</f>
        <v>13681.8</v>
      </c>
      <c r="G129" s="23">
        <f>G133+G148</f>
        <v>381.4</v>
      </c>
      <c r="H129" s="23">
        <f>H133+H148</f>
        <v>799.4</v>
      </c>
      <c r="I129" s="23">
        <f>I133+I148</f>
        <v>0</v>
      </c>
      <c r="J129" s="40"/>
      <c r="K129" s="40"/>
      <c r="L129" s="53"/>
      <c r="M129" s="53"/>
      <c r="N129" s="53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</row>
    <row r="130" spans="1:227" s="6" customFormat="1" ht="18" customHeight="1">
      <c r="A130" s="88"/>
      <c r="B130" s="106"/>
      <c r="C130" s="75">
        <v>2026</v>
      </c>
      <c r="D130" s="23">
        <f t="shared" ref="D130:H130" si="50">D142+D149</f>
        <v>123322.6</v>
      </c>
      <c r="E130" s="23">
        <f t="shared" si="50"/>
        <v>0</v>
      </c>
      <c r="F130" s="23">
        <f t="shared" si="50"/>
        <v>30000</v>
      </c>
      <c r="G130" s="23">
        <f t="shared" si="50"/>
        <v>92151.1</v>
      </c>
      <c r="H130" s="23">
        <f t="shared" si="50"/>
        <v>1171.5</v>
      </c>
      <c r="I130" s="23">
        <f>I142+I149</f>
        <v>0</v>
      </c>
      <c r="J130" s="40"/>
      <c r="K130" s="40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</row>
    <row r="131" spans="1:227" s="6" customFormat="1" ht="18" customHeight="1">
      <c r="A131" s="79"/>
      <c r="B131" s="107"/>
      <c r="C131" s="75" t="s">
        <v>16</v>
      </c>
      <c r="D131" s="16">
        <f t="shared" ref="D131:I131" si="51">SUM(D128:D130)</f>
        <v>192179.1</v>
      </c>
      <c r="E131" s="16">
        <f t="shared" si="51"/>
        <v>979.3</v>
      </c>
      <c r="F131" s="16">
        <f t="shared" si="51"/>
        <v>85343</v>
      </c>
      <c r="G131" s="16">
        <f t="shared" si="51"/>
        <v>102486.40000000001</v>
      </c>
      <c r="H131" s="16">
        <f t="shared" si="51"/>
        <v>3370.4</v>
      </c>
      <c r="I131" s="16">
        <f t="shared" si="51"/>
        <v>0</v>
      </c>
      <c r="J131" s="40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</row>
    <row r="132" spans="1:227" s="6" customFormat="1" ht="18" customHeight="1">
      <c r="A132" s="78" t="s">
        <v>26</v>
      </c>
      <c r="B132" s="89"/>
      <c r="C132" s="75">
        <v>2024</v>
      </c>
      <c r="D132" s="16">
        <f t="shared" ref="D132:I133" si="52">D135+D138</f>
        <v>4904.1000000000004</v>
      </c>
      <c r="E132" s="16">
        <f t="shared" si="52"/>
        <v>0</v>
      </c>
      <c r="F132" s="16">
        <f t="shared" si="52"/>
        <v>4560.8</v>
      </c>
      <c r="G132" s="16">
        <f t="shared" si="52"/>
        <v>0</v>
      </c>
      <c r="H132" s="16">
        <f t="shared" si="52"/>
        <v>343.3</v>
      </c>
      <c r="I132" s="16">
        <f t="shared" si="52"/>
        <v>0</v>
      </c>
      <c r="J132" s="40"/>
      <c r="L132" s="56"/>
      <c r="M132" s="3"/>
      <c r="N132" s="56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</row>
    <row r="133" spans="1:227" s="6" customFormat="1" ht="18" customHeight="1">
      <c r="A133" s="88"/>
      <c r="B133" s="86"/>
      <c r="C133" s="75">
        <v>2025</v>
      </c>
      <c r="D133" s="16">
        <f t="shared" si="52"/>
        <v>12330.4</v>
      </c>
      <c r="E133" s="16">
        <f t="shared" si="52"/>
        <v>0</v>
      </c>
      <c r="F133" s="16">
        <f t="shared" si="52"/>
        <v>11949</v>
      </c>
      <c r="G133" s="16">
        <f t="shared" si="52"/>
        <v>381.4</v>
      </c>
      <c r="H133" s="16">
        <f t="shared" si="52"/>
        <v>0</v>
      </c>
      <c r="I133" s="16">
        <f t="shared" si="52"/>
        <v>0</v>
      </c>
      <c r="J133" s="40"/>
      <c r="K133" s="40"/>
      <c r="L133" s="53"/>
      <c r="M133" s="53"/>
      <c r="N133" s="53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</row>
    <row r="134" spans="1:227" s="6" customFormat="1" ht="27.75" customHeight="1">
      <c r="A134" s="79"/>
      <c r="B134" s="87"/>
      <c r="C134" s="75" t="s">
        <v>16</v>
      </c>
      <c r="D134" s="16">
        <f t="shared" ref="D134:I134" si="53">SUM(D132:D133)</f>
        <v>17234.5</v>
      </c>
      <c r="E134" s="16">
        <f t="shared" si="53"/>
        <v>0</v>
      </c>
      <c r="F134" s="16">
        <f t="shared" si="53"/>
        <v>16509.8</v>
      </c>
      <c r="G134" s="16">
        <f t="shared" si="53"/>
        <v>381.4</v>
      </c>
      <c r="H134" s="16">
        <f t="shared" si="53"/>
        <v>343.3</v>
      </c>
      <c r="I134" s="16">
        <f t="shared" si="53"/>
        <v>0</v>
      </c>
      <c r="J134" s="40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</row>
    <row r="135" spans="1:227" s="6" customFormat="1" ht="18" customHeight="1">
      <c r="A135" s="81" t="s">
        <v>21</v>
      </c>
      <c r="B135" s="89"/>
      <c r="C135" s="74">
        <v>2024</v>
      </c>
      <c r="D135" s="15">
        <f>SUM(E135:I135)</f>
        <v>4904.1000000000004</v>
      </c>
      <c r="E135" s="15">
        <v>0</v>
      </c>
      <c r="F135" s="15">
        <v>4560.8</v>
      </c>
      <c r="G135" s="15">
        <v>0</v>
      </c>
      <c r="H135" s="15">
        <v>343.3</v>
      </c>
      <c r="I135" s="15">
        <v>0</v>
      </c>
      <c r="J135" s="42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</row>
    <row r="136" spans="1:227" s="6" customFormat="1" ht="18" customHeight="1">
      <c r="A136" s="84"/>
      <c r="B136" s="86"/>
      <c r="C136" s="74">
        <v>2025</v>
      </c>
      <c r="D136" s="15">
        <f t="shared" ref="D136" si="54">SUM(E136:I136)</f>
        <v>5448.4</v>
      </c>
      <c r="E136" s="15">
        <v>0</v>
      </c>
      <c r="F136" s="15">
        <v>5067</v>
      </c>
      <c r="G136" s="15">
        <v>381.4</v>
      </c>
      <c r="H136" s="15">
        <v>0</v>
      </c>
      <c r="I136" s="15">
        <v>0</v>
      </c>
      <c r="J136" s="42"/>
      <c r="K136" s="42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</row>
    <row r="137" spans="1:227" s="6" customFormat="1" ht="18" customHeight="1">
      <c r="A137" s="82"/>
      <c r="B137" s="87"/>
      <c r="C137" s="74" t="s">
        <v>16</v>
      </c>
      <c r="D137" s="15">
        <f t="shared" ref="D137:I137" si="55">SUM(D135:D136)</f>
        <v>10352.5</v>
      </c>
      <c r="E137" s="15">
        <f t="shared" si="55"/>
        <v>0</v>
      </c>
      <c r="F137" s="15">
        <f t="shared" si="55"/>
        <v>9627.7999999999993</v>
      </c>
      <c r="G137" s="15">
        <f t="shared" si="55"/>
        <v>381.4</v>
      </c>
      <c r="H137" s="15">
        <f t="shared" si="55"/>
        <v>343.3</v>
      </c>
      <c r="I137" s="15">
        <f t="shared" si="55"/>
        <v>0</v>
      </c>
      <c r="J137" s="42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</row>
    <row r="138" spans="1:227" s="6" customFormat="1" ht="18" customHeight="1">
      <c r="A138" s="81" t="s">
        <v>27</v>
      </c>
      <c r="B138" s="89"/>
      <c r="C138" s="74">
        <v>2024</v>
      </c>
      <c r="D138" s="15">
        <f>SUM(E138:I138)</f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42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</row>
    <row r="139" spans="1:227" s="6" customFormat="1" ht="18" customHeight="1">
      <c r="A139" s="84"/>
      <c r="B139" s="86"/>
      <c r="C139" s="74">
        <v>2025</v>
      </c>
      <c r="D139" s="15">
        <f>SUM(E139:I139)</f>
        <v>6882</v>
      </c>
      <c r="E139" s="15">
        <v>0</v>
      </c>
      <c r="F139" s="15">
        <f>30670.3-23788.3</f>
        <v>6882</v>
      </c>
      <c r="G139" s="15">
        <f>2308.6-2308.6</f>
        <v>0</v>
      </c>
      <c r="H139" s="15">
        <v>0</v>
      </c>
      <c r="I139" s="15">
        <v>0</v>
      </c>
      <c r="J139" s="42"/>
      <c r="K139" s="42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</row>
    <row r="140" spans="1:227" s="6" customFormat="1" ht="18" customHeight="1">
      <c r="A140" s="82"/>
      <c r="B140" s="87"/>
      <c r="C140" s="74" t="s">
        <v>16</v>
      </c>
      <c r="D140" s="15">
        <f t="shared" ref="D140:I140" si="56">SUM(D138:D139)</f>
        <v>6882</v>
      </c>
      <c r="E140" s="15">
        <f t="shared" si="56"/>
        <v>0</v>
      </c>
      <c r="F140" s="15">
        <f t="shared" si="56"/>
        <v>6882</v>
      </c>
      <c r="G140" s="15">
        <f t="shared" si="56"/>
        <v>0</v>
      </c>
      <c r="H140" s="15">
        <f t="shared" si="56"/>
        <v>0</v>
      </c>
      <c r="I140" s="15">
        <f t="shared" si="56"/>
        <v>0</v>
      </c>
      <c r="J140" s="42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</row>
    <row r="141" spans="1:227" s="6" customFormat="1" ht="18" customHeight="1">
      <c r="A141" s="78" t="s">
        <v>28</v>
      </c>
      <c r="B141" s="89"/>
      <c r="C141" s="75">
        <v>2024</v>
      </c>
      <c r="D141" s="16">
        <f t="shared" ref="D141:H142" si="57">D144</f>
        <v>10215</v>
      </c>
      <c r="E141" s="16">
        <f t="shared" si="57"/>
        <v>0</v>
      </c>
      <c r="F141" s="16">
        <f t="shared" si="57"/>
        <v>9500</v>
      </c>
      <c r="G141" s="16">
        <f t="shared" si="57"/>
        <v>0</v>
      </c>
      <c r="H141" s="16">
        <f t="shared" si="57"/>
        <v>715</v>
      </c>
      <c r="I141" s="16">
        <v>0</v>
      </c>
      <c r="J141" s="40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</row>
    <row r="142" spans="1:227" s="65" customFormat="1" ht="18" customHeight="1">
      <c r="A142" s="88"/>
      <c r="B142" s="86"/>
      <c r="C142" s="75">
        <v>2026</v>
      </c>
      <c r="D142" s="16">
        <f>SUM(E142:I142)</f>
        <v>122151.1</v>
      </c>
      <c r="E142" s="16">
        <f t="shared" si="57"/>
        <v>0</v>
      </c>
      <c r="F142" s="16">
        <f t="shared" si="57"/>
        <v>30000</v>
      </c>
      <c r="G142" s="16">
        <f t="shared" si="57"/>
        <v>92151.1</v>
      </c>
      <c r="H142" s="16">
        <f t="shared" si="57"/>
        <v>0</v>
      </c>
      <c r="I142" s="16">
        <f>I145</f>
        <v>0</v>
      </c>
      <c r="J142" s="40"/>
      <c r="K142" s="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  <c r="CO142" s="66"/>
      <c r="CP142" s="66"/>
      <c r="CQ142" s="66"/>
      <c r="CR142" s="66"/>
      <c r="CS142" s="66"/>
      <c r="CT142" s="66"/>
      <c r="CU142" s="66"/>
      <c r="CV142" s="66"/>
      <c r="CW142" s="66"/>
      <c r="CX142" s="66"/>
      <c r="CY142" s="6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6"/>
      <c r="DL142" s="66"/>
      <c r="DM142" s="66"/>
      <c r="DN142" s="66"/>
      <c r="DO142" s="66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/>
      <c r="EW142" s="66"/>
      <c r="EX142" s="66"/>
      <c r="EY142" s="66"/>
      <c r="EZ142" s="66"/>
      <c r="FA142" s="66"/>
      <c r="FB142" s="66"/>
      <c r="FC142" s="66"/>
      <c r="FD142" s="66"/>
      <c r="FE142" s="66"/>
      <c r="FF142" s="66"/>
      <c r="FG142" s="66"/>
      <c r="FH142" s="66"/>
      <c r="FI142" s="66"/>
      <c r="FJ142" s="66"/>
      <c r="FK142" s="66"/>
      <c r="FL142" s="66"/>
      <c r="FM142" s="66"/>
      <c r="FN142" s="66"/>
      <c r="FO142" s="66"/>
      <c r="FP142" s="66"/>
      <c r="FQ142" s="66"/>
      <c r="FR142" s="66"/>
      <c r="FS142" s="66"/>
      <c r="FT142" s="66"/>
      <c r="FU142" s="66"/>
      <c r="FV142" s="66"/>
      <c r="FW142" s="66"/>
      <c r="FX142" s="66"/>
      <c r="FY142" s="66"/>
      <c r="FZ142" s="66"/>
      <c r="GA142" s="66"/>
      <c r="GB142" s="66"/>
      <c r="GC142" s="66"/>
      <c r="GD142" s="66"/>
      <c r="GE142" s="66"/>
      <c r="GF142" s="66"/>
      <c r="GG142" s="66"/>
      <c r="GH142" s="66"/>
      <c r="GI142" s="66"/>
      <c r="GJ142" s="66"/>
      <c r="GK142" s="66"/>
      <c r="GL142" s="66"/>
      <c r="GM142" s="66"/>
      <c r="GN142" s="66"/>
      <c r="GO142" s="66"/>
      <c r="GP142" s="66"/>
      <c r="GQ142" s="66"/>
      <c r="GR142" s="66"/>
      <c r="GS142" s="66"/>
      <c r="GT142" s="66"/>
      <c r="GU142" s="66"/>
      <c r="GV142" s="66"/>
      <c r="GW142" s="66"/>
      <c r="GX142" s="66"/>
      <c r="GY142" s="66"/>
      <c r="GZ142" s="66"/>
      <c r="HA142" s="66"/>
      <c r="HB142" s="66"/>
      <c r="HC142" s="66"/>
      <c r="HD142" s="66"/>
      <c r="HE142" s="66"/>
      <c r="HF142" s="66"/>
      <c r="HG142" s="66"/>
      <c r="HH142" s="66"/>
      <c r="HI142" s="66"/>
      <c r="HJ142" s="66"/>
      <c r="HK142" s="66"/>
      <c r="HL142" s="66"/>
      <c r="HM142" s="66"/>
      <c r="HN142" s="66"/>
      <c r="HO142" s="66"/>
      <c r="HP142" s="66"/>
      <c r="HQ142" s="66"/>
      <c r="HR142" s="66"/>
      <c r="HS142" s="66"/>
    </row>
    <row r="143" spans="1:227" s="6" customFormat="1" ht="72" customHeight="1">
      <c r="A143" s="79"/>
      <c r="B143" s="87"/>
      <c r="C143" s="75" t="s">
        <v>16</v>
      </c>
      <c r="D143" s="16">
        <f t="shared" ref="D143:H143" si="58">SUM(D141:D142)</f>
        <v>132366.1</v>
      </c>
      <c r="E143" s="16">
        <f t="shared" si="58"/>
        <v>0</v>
      </c>
      <c r="F143" s="16">
        <f t="shared" si="58"/>
        <v>39500</v>
      </c>
      <c r="G143" s="16">
        <f t="shared" si="58"/>
        <v>92151.1</v>
      </c>
      <c r="H143" s="16">
        <f t="shared" si="58"/>
        <v>715</v>
      </c>
      <c r="I143" s="16">
        <f>SUM(I141:I142)</f>
        <v>0</v>
      </c>
      <c r="J143" s="40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</row>
    <row r="144" spans="1:227" s="6" customFormat="1" ht="30" customHeight="1">
      <c r="A144" s="81" t="s">
        <v>25</v>
      </c>
      <c r="B144" s="89"/>
      <c r="C144" s="74">
        <v>2024</v>
      </c>
      <c r="D144" s="15">
        <f>SUM(E144:I144)</f>
        <v>10215</v>
      </c>
      <c r="E144" s="15">
        <v>0</v>
      </c>
      <c r="F144" s="15">
        <v>9500</v>
      </c>
      <c r="G144" s="15">
        <v>0</v>
      </c>
      <c r="H144" s="15">
        <v>715</v>
      </c>
      <c r="I144" s="15">
        <v>0</v>
      </c>
      <c r="J144" s="42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</row>
    <row r="145" spans="1:227" s="6" customFormat="1" ht="30" customHeight="1">
      <c r="A145" s="84"/>
      <c r="B145" s="86"/>
      <c r="C145" s="74">
        <v>2026</v>
      </c>
      <c r="D145" s="15">
        <f>SUM(E145:I145)</f>
        <v>122151.1</v>
      </c>
      <c r="E145" s="15">
        <v>0</v>
      </c>
      <c r="F145" s="15">
        <v>30000</v>
      </c>
      <c r="G145" s="15">
        <v>92151.1</v>
      </c>
      <c r="H145" s="15">
        <v>0</v>
      </c>
      <c r="I145" s="15">
        <v>0</v>
      </c>
      <c r="J145" s="42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</row>
    <row r="146" spans="1:227" s="6" customFormat="1" ht="40.5" customHeight="1">
      <c r="A146" s="82"/>
      <c r="B146" s="87"/>
      <c r="C146" s="74" t="s">
        <v>16</v>
      </c>
      <c r="D146" s="15">
        <f t="shared" ref="D146:H146" si="59">SUM(D144:D145)</f>
        <v>132366.1</v>
      </c>
      <c r="E146" s="15">
        <f t="shared" si="59"/>
        <v>0</v>
      </c>
      <c r="F146" s="15">
        <f t="shared" si="59"/>
        <v>39500</v>
      </c>
      <c r="G146" s="15">
        <f t="shared" si="59"/>
        <v>92151.1</v>
      </c>
      <c r="H146" s="15">
        <f t="shared" si="59"/>
        <v>715</v>
      </c>
      <c r="I146" s="15">
        <f>SUM(I144:I145)</f>
        <v>0</v>
      </c>
      <c r="J146" s="42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</row>
    <row r="147" spans="1:227" s="6" customFormat="1" ht="21.75" customHeight="1">
      <c r="A147" s="78" t="s">
        <v>29</v>
      </c>
      <c r="B147" s="89"/>
      <c r="C147" s="75">
        <v>2024</v>
      </c>
      <c r="D147" s="16">
        <f t="shared" ref="D147:I149" si="60">D151</f>
        <v>4875.3</v>
      </c>
      <c r="E147" s="16">
        <f t="shared" si="60"/>
        <v>729.8</v>
      </c>
      <c r="F147" s="16">
        <f t="shared" si="60"/>
        <v>3804.3</v>
      </c>
      <c r="G147" s="16">
        <f t="shared" si="60"/>
        <v>0</v>
      </c>
      <c r="H147" s="16">
        <f t="shared" si="60"/>
        <v>341.2</v>
      </c>
      <c r="I147" s="16">
        <v>0</v>
      </c>
      <c r="J147" s="40"/>
      <c r="L147" s="56"/>
      <c r="M147" s="3"/>
      <c r="N147" s="5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</row>
    <row r="148" spans="1:227" s="6" customFormat="1" ht="16.5" customHeight="1">
      <c r="A148" s="88"/>
      <c r="B148" s="86"/>
      <c r="C148" s="75">
        <v>2025</v>
      </c>
      <c r="D148" s="16">
        <f>D152</f>
        <v>2781.7</v>
      </c>
      <c r="E148" s="16">
        <f t="shared" si="60"/>
        <v>249.5</v>
      </c>
      <c r="F148" s="16">
        <f t="shared" si="60"/>
        <v>1732.8</v>
      </c>
      <c r="G148" s="16">
        <f t="shared" si="60"/>
        <v>0</v>
      </c>
      <c r="H148" s="16">
        <f t="shared" si="60"/>
        <v>799.4</v>
      </c>
      <c r="I148" s="16">
        <f>I152</f>
        <v>0</v>
      </c>
      <c r="J148" s="40"/>
      <c r="K148" s="40"/>
      <c r="L148" s="53"/>
      <c r="M148" s="53"/>
      <c r="N148" s="53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</row>
    <row r="149" spans="1:227" s="6" customFormat="1" ht="20.25" customHeight="1">
      <c r="A149" s="88"/>
      <c r="B149" s="86"/>
      <c r="C149" s="75">
        <v>2026</v>
      </c>
      <c r="D149" s="16">
        <f>D153</f>
        <v>1171.5</v>
      </c>
      <c r="E149" s="16">
        <f t="shared" si="60"/>
        <v>0</v>
      </c>
      <c r="F149" s="16">
        <f t="shared" si="60"/>
        <v>0</v>
      </c>
      <c r="G149" s="16">
        <f t="shared" si="60"/>
        <v>0</v>
      </c>
      <c r="H149" s="16">
        <f t="shared" si="60"/>
        <v>1171.5</v>
      </c>
      <c r="I149" s="16">
        <f t="shared" si="60"/>
        <v>0</v>
      </c>
      <c r="J149" s="40"/>
      <c r="K149" s="40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</row>
    <row r="150" spans="1:227" s="6" customFormat="1" ht="18" customHeight="1">
      <c r="A150" s="79"/>
      <c r="B150" s="87"/>
      <c r="C150" s="75" t="s">
        <v>16</v>
      </c>
      <c r="D150" s="16">
        <f t="shared" ref="D150:I150" si="61">SUM(D147:D149)</f>
        <v>8828.5</v>
      </c>
      <c r="E150" s="16">
        <f t="shared" si="61"/>
        <v>979.3</v>
      </c>
      <c r="F150" s="16">
        <f t="shared" si="61"/>
        <v>5537.1</v>
      </c>
      <c r="G150" s="16">
        <f t="shared" si="61"/>
        <v>0</v>
      </c>
      <c r="H150" s="16">
        <f t="shared" si="61"/>
        <v>2312.1</v>
      </c>
      <c r="I150" s="16">
        <f t="shared" si="61"/>
        <v>0</v>
      </c>
      <c r="J150" s="40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</row>
    <row r="151" spans="1:227" s="6" customFormat="1" ht="18.75" customHeight="1">
      <c r="A151" s="81" t="s">
        <v>30</v>
      </c>
      <c r="B151" s="89"/>
      <c r="C151" s="74">
        <v>2024</v>
      </c>
      <c r="D151" s="15">
        <f>SUM(E151:I151)</f>
        <v>4875.3</v>
      </c>
      <c r="E151" s="15">
        <v>729.8</v>
      </c>
      <c r="F151" s="15">
        <v>3804.3</v>
      </c>
      <c r="G151" s="15">
        <v>0</v>
      </c>
      <c r="H151" s="15">
        <v>341.2</v>
      </c>
      <c r="I151" s="15">
        <v>0</v>
      </c>
      <c r="J151" s="42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</row>
    <row r="152" spans="1:227" s="6" customFormat="1" ht="19.5" customHeight="1">
      <c r="A152" s="84"/>
      <c r="B152" s="86"/>
      <c r="C152" s="74">
        <v>2025</v>
      </c>
      <c r="D152" s="15">
        <f>SUM(E152:I152)</f>
        <v>2781.7</v>
      </c>
      <c r="E152" s="15">
        <v>249.5</v>
      </c>
      <c r="F152" s="15">
        <v>1732.8</v>
      </c>
      <c r="G152" s="15">
        <v>0</v>
      </c>
      <c r="H152" s="15">
        <v>799.4</v>
      </c>
      <c r="I152" s="15">
        <v>0</v>
      </c>
      <c r="J152" s="42"/>
      <c r="K152" s="42"/>
      <c r="L152" s="53"/>
      <c r="M152" s="53"/>
      <c r="N152" s="53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</row>
    <row r="153" spans="1:227" s="6" customFormat="1" ht="20.25" customHeight="1">
      <c r="A153" s="84"/>
      <c r="B153" s="86"/>
      <c r="C153" s="74">
        <v>2026</v>
      </c>
      <c r="D153" s="15">
        <f>SUM(E153:I153)</f>
        <v>1171.5</v>
      </c>
      <c r="E153" s="15">
        <v>0</v>
      </c>
      <c r="F153" s="15">
        <v>0</v>
      </c>
      <c r="G153" s="15">
        <v>0</v>
      </c>
      <c r="H153" s="15">
        <f>881.7+289.8</f>
        <v>1171.5</v>
      </c>
      <c r="I153" s="15">
        <v>0</v>
      </c>
      <c r="J153" s="42"/>
      <c r="K153" s="42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</row>
    <row r="154" spans="1:227" ht="19.5" customHeight="1">
      <c r="A154" s="82"/>
      <c r="B154" s="87"/>
      <c r="C154" s="74" t="s">
        <v>16</v>
      </c>
      <c r="D154" s="15">
        <f t="shared" ref="D154:I154" si="62">SUM(D151:D153)</f>
        <v>8828.5</v>
      </c>
      <c r="E154" s="15">
        <f t="shared" si="62"/>
        <v>979.3</v>
      </c>
      <c r="F154" s="15">
        <f t="shared" si="62"/>
        <v>5537.1</v>
      </c>
      <c r="G154" s="15">
        <f t="shared" si="62"/>
        <v>0</v>
      </c>
      <c r="H154" s="15">
        <f t="shared" si="62"/>
        <v>2312.1</v>
      </c>
      <c r="I154" s="15">
        <f t="shared" si="62"/>
        <v>0</v>
      </c>
      <c r="J154" s="42"/>
    </row>
    <row r="155" spans="1:227" s="6" customFormat="1" ht="21.75" customHeight="1">
      <c r="A155" s="78" t="s">
        <v>53</v>
      </c>
      <c r="B155" s="89"/>
      <c r="C155" s="75">
        <v>2024</v>
      </c>
      <c r="D155" s="16">
        <f t="shared" ref="D155:H155" si="63">D157</f>
        <v>33750</v>
      </c>
      <c r="E155" s="16">
        <f t="shared" si="63"/>
        <v>0</v>
      </c>
      <c r="F155" s="16">
        <f t="shared" si="63"/>
        <v>23796.1</v>
      </c>
      <c r="G155" s="16">
        <f t="shared" si="63"/>
        <v>9953.9</v>
      </c>
      <c r="H155" s="16">
        <f t="shared" si="63"/>
        <v>0</v>
      </c>
      <c r="I155" s="16">
        <v>0</v>
      </c>
      <c r="J155" s="40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</row>
    <row r="156" spans="1:227" s="6" customFormat="1" ht="66.75" customHeight="1">
      <c r="A156" s="79"/>
      <c r="B156" s="87"/>
      <c r="C156" s="75" t="s">
        <v>16</v>
      </c>
      <c r="D156" s="16">
        <f t="shared" ref="D156:I156" si="64">SUM(D155:D155)</f>
        <v>33750</v>
      </c>
      <c r="E156" s="16">
        <f t="shared" si="64"/>
        <v>0</v>
      </c>
      <c r="F156" s="16">
        <f t="shared" si="64"/>
        <v>23796.1</v>
      </c>
      <c r="G156" s="16">
        <f t="shared" si="64"/>
        <v>9953.9</v>
      </c>
      <c r="H156" s="16">
        <f t="shared" si="64"/>
        <v>0</v>
      </c>
      <c r="I156" s="16">
        <f t="shared" si="64"/>
        <v>0</v>
      </c>
      <c r="J156" s="40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</row>
    <row r="157" spans="1:227" s="6" customFormat="1" ht="24" customHeight="1">
      <c r="A157" s="81" t="s">
        <v>54</v>
      </c>
      <c r="B157" s="89"/>
      <c r="C157" s="74">
        <v>2024</v>
      </c>
      <c r="D157" s="15">
        <f>SUM(E157:I157)</f>
        <v>33750</v>
      </c>
      <c r="E157" s="15">
        <v>0</v>
      </c>
      <c r="F157" s="15">
        <v>23796.1</v>
      </c>
      <c r="G157" s="15">
        <v>9953.9</v>
      </c>
      <c r="H157" s="15">
        <v>0</v>
      </c>
      <c r="I157" s="15">
        <v>0</v>
      </c>
      <c r="J157" s="42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</row>
    <row r="158" spans="1:227" ht="75.75" customHeight="1">
      <c r="A158" s="82"/>
      <c r="B158" s="87"/>
      <c r="C158" s="74" t="s">
        <v>16</v>
      </c>
      <c r="D158" s="15">
        <f t="shared" ref="D158:I158" si="65">SUM(D157:D157)</f>
        <v>33750</v>
      </c>
      <c r="E158" s="15">
        <f t="shared" si="65"/>
        <v>0</v>
      </c>
      <c r="F158" s="15">
        <f t="shared" si="65"/>
        <v>23796.1</v>
      </c>
      <c r="G158" s="15">
        <f t="shared" si="65"/>
        <v>9953.9</v>
      </c>
      <c r="H158" s="15">
        <f t="shared" si="65"/>
        <v>0</v>
      </c>
      <c r="I158" s="15">
        <f t="shared" si="65"/>
        <v>0</v>
      </c>
      <c r="J158" s="42"/>
    </row>
    <row r="159" spans="1:227">
      <c r="A159" s="25" t="s">
        <v>31</v>
      </c>
      <c r="B159" s="26"/>
      <c r="C159" s="27"/>
      <c r="D159" s="28"/>
      <c r="E159" s="28"/>
      <c r="F159" s="28"/>
      <c r="G159" s="28"/>
      <c r="H159" s="28"/>
      <c r="I159" s="29"/>
      <c r="J159" s="40"/>
    </row>
    <row r="160" spans="1:227">
      <c r="A160" s="85" t="s">
        <v>32</v>
      </c>
      <c r="B160" s="80"/>
      <c r="C160" s="75">
        <v>2022</v>
      </c>
      <c r="D160" s="23">
        <f t="shared" ref="D160:D163" si="66">SUM(E160:I160)</f>
        <v>183148.7</v>
      </c>
      <c r="E160" s="23">
        <f t="shared" ref="E160:I161" si="67">E169+E251+E275+E292+E320+E334+E366+E384</f>
        <v>132.1</v>
      </c>
      <c r="F160" s="23">
        <f t="shared" si="67"/>
        <v>4245.3999999999996</v>
      </c>
      <c r="G160" s="23">
        <f t="shared" si="67"/>
        <v>995.7</v>
      </c>
      <c r="H160" s="23">
        <f t="shared" si="67"/>
        <v>177775.5</v>
      </c>
      <c r="I160" s="23">
        <f t="shared" si="67"/>
        <v>0</v>
      </c>
      <c r="J160" s="40"/>
      <c r="K160" s="35"/>
      <c r="L160" s="35"/>
      <c r="M160" s="35"/>
      <c r="N160" s="35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</row>
    <row r="161" spans="1:227">
      <c r="A161" s="85"/>
      <c r="B161" s="80"/>
      <c r="C161" s="75">
        <v>2023</v>
      </c>
      <c r="D161" s="23">
        <f t="shared" si="66"/>
        <v>191150.8</v>
      </c>
      <c r="E161" s="23">
        <f t="shared" si="67"/>
        <v>204.2</v>
      </c>
      <c r="F161" s="23">
        <f t="shared" si="67"/>
        <v>5375.6</v>
      </c>
      <c r="G161" s="23">
        <f t="shared" si="67"/>
        <v>12769.400000000001</v>
      </c>
      <c r="H161" s="23">
        <f t="shared" si="67"/>
        <v>172801.59999999998</v>
      </c>
      <c r="I161" s="23">
        <f t="shared" si="67"/>
        <v>0</v>
      </c>
      <c r="J161" s="40"/>
      <c r="K161" s="35"/>
      <c r="L161" s="35"/>
      <c r="M161" s="35"/>
      <c r="N161" s="35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</row>
    <row r="162" spans="1:227">
      <c r="A162" s="85"/>
      <c r="B162" s="80"/>
      <c r="C162" s="75">
        <v>2024</v>
      </c>
      <c r="D162" s="23">
        <f t="shared" si="66"/>
        <v>268046.2</v>
      </c>
      <c r="E162" s="23">
        <f>E171+E253+E277+E294+E322+E336+E386</f>
        <v>0</v>
      </c>
      <c r="F162" s="23">
        <f>F171+F253+F277+F294+F322+F336+F386</f>
        <v>3061.2</v>
      </c>
      <c r="G162" s="23">
        <f>G171+G253+G277+G294+G322+G336+G386</f>
        <v>81831.7</v>
      </c>
      <c r="H162" s="23">
        <f>H171+H253+H277+H294+H322+H336+H386</f>
        <v>173153.30000000002</v>
      </c>
      <c r="I162" s="23">
        <f>I171+I253+I277+I294+I322+I336+I386</f>
        <v>10000</v>
      </c>
      <c r="J162" s="40"/>
      <c r="K162" s="35"/>
      <c r="L162" s="56"/>
      <c r="M162" s="3"/>
      <c r="N162" s="56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</row>
    <row r="163" spans="1:227">
      <c r="A163" s="85"/>
      <c r="B163" s="80"/>
      <c r="C163" s="75">
        <v>2025</v>
      </c>
      <c r="D163" s="23">
        <f t="shared" si="66"/>
        <v>269011.5</v>
      </c>
      <c r="E163" s="23">
        <f t="shared" ref="E163:I163" si="68">E172+E254+E278+E295+E323+E337+E368+E387</f>
        <v>0</v>
      </c>
      <c r="F163" s="23">
        <f t="shared" si="68"/>
        <v>3024.2</v>
      </c>
      <c r="G163" s="23">
        <f t="shared" si="68"/>
        <v>82883</v>
      </c>
      <c r="H163" s="23">
        <f t="shared" si="68"/>
        <v>176104.3</v>
      </c>
      <c r="I163" s="23">
        <f t="shared" si="68"/>
        <v>7000</v>
      </c>
      <c r="J163" s="40"/>
      <c r="K163" s="40"/>
      <c r="L163" s="58"/>
      <c r="M163" s="58"/>
      <c r="N163" s="58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</row>
    <row r="164" spans="1:227">
      <c r="A164" s="85"/>
      <c r="B164" s="80"/>
      <c r="C164" s="75">
        <v>2026</v>
      </c>
      <c r="D164" s="23">
        <f>SUM(E164:I164)</f>
        <v>238466.00000000003</v>
      </c>
      <c r="E164" s="23">
        <f t="shared" ref="E164:I164" si="69">E173+E255+E279+E296+E338+E388</f>
        <v>0</v>
      </c>
      <c r="F164" s="23">
        <f t="shared" si="69"/>
        <v>3054.3</v>
      </c>
      <c r="G164" s="23">
        <f t="shared" si="69"/>
        <v>25682.800000000003</v>
      </c>
      <c r="H164" s="23">
        <f t="shared" si="69"/>
        <v>203728.90000000002</v>
      </c>
      <c r="I164" s="23">
        <f t="shared" si="69"/>
        <v>6000</v>
      </c>
      <c r="J164" s="40"/>
      <c r="K164" s="40"/>
      <c r="L164" s="35"/>
      <c r="M164" s="35"/>
      <c r="N164" s="35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</row>
    <row r="165" spans="1:227">
      <c r="A165" s="85"/>
      <c r="B165" s="80"/>
      <c r="C165" s="75">
        <v>2027</v>
      </c>
      <c r="D165" s="23">
        <f>SUM(E165:I165)</f>
        <v>169283.1</v>
      </c>
      <c r="E165" s="23">
        <f t="shared" ref="E165:I165" si="70">E174+E256+E280+E339+E389+E401</f>
        <v>0</v>
      </c>
      <c r="F165" s="23">
        <f t="shared" si="70"/>
        <v>0</v>
      </c>
      <c r="G165" s="23">
        <f t="shared" si="70"/>
        <v>0</v>
      </c>
      <c r="H165" s="23">
        <f t="shared" si="70"/>
        <v>169283.1</v>
      </c>
      <c r="I165" s="23">
        <f t="shared" si="70"/>
        <v>0</v>
      </c>
      <c r="J165" s="40"/>
      <c r="K165" s="40"/>
      <c r="L165" s="35"/>
      <c r="M165" s="35"/>
      <c r="N165" s="35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</row>
    <row r="166" spans="1:227">
      <c r="A166" s="85"/>
      <c r="B166" s="80"/>
      <c r="C166" s="75">
        <v>2028</v>
      </c>
      <c r="D166" s="64">
        <f>SUM(E166:I166)</f>
        <v>177573.3</v>
      </c>
      <c r="E166" s="64">
        <f t="shared" ref="E166:H166" si="71">E175+E257+E281+E340+E390</f>
        <v>0</v>
      </c>
      <c r="F166" s="64">
        <f t="shared" si="71"/>
        <v>0</v>
      </c>
      <c r="G166" s="64">
        <f t="shared" si="71"/>
        <v>0</v>
      </c>
      <c r="H166" s="64">
        <f t="shared" si="71"/>
        <v>177573.3</v>
      </c>
      <c r="I166" s="64">
        <f>I175+I257+I281+I340+I390</f>
        <v>0</v>
      </c>
      <c r="J166" s="40"/>
      <c r="K166" s="40"/>
      <c r="L166" s="35"/>
      <c r="M166" s="35"/>
      <c r="N166" s="35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</row>
    <row r="167" spans="1:227">
      <c r="A167" s="85"/>
      <c r="B167" s="80"/>
      <c r="C167" s="75" t="s">
        <v>16</v>
      </c>
      <c r="D167" s="23">
        <f t="shared" ref="D167:H167" si="72">SUM(D160:D166)</f>
        <v>1496679.6</v>
      </c>
      <c r="E167" s="23">
        <f t="shared" si="72"/>
        <v>336.29999999999995</v>
      </c>
      <c r="F167" s="23">
        <f t="shared" si="72"/>
        <v>18760.7</v>
      </c>
      <c r="G167" s="23">
        <f t="shared" si="72"/>
        <v>204162.59999999998</v>
      </c>
      <c r="H167" s="23">
        <f t="shared" si="72"/>
        <v>1250420</v>
      </c>
      <c r="I167" s="23">
        <f>SUM(I160:I166)</f>
        <v>23000</v>
      </c>
      <c r="J167" s="40"/>
      <c r="K167" s="35"/>
      <c r="L167" s="35"/>
      <c r="M167" s="35"/>
      <c r="N167" s="35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</row>
    <row r="168" spans="1:227">
      <c r="A168" s="76" t="s">
        <v>70</v>
      </c>
      <c r="B168" s="18"/>
      <c r="C168" s="18"/>
      <c r="D168" s="19"/>
      <c r="E168" s="20"/>
      <c r="F168" s="20"/>
      <c r="G168" s="20"/>
      <c r="H168" s="20"/>
      <c r="I168" s="21"/>
      <c r="J168" s="42"/>
    </row>
    <row r="169" spans="1:227">
      <c r="A169" s="85" t="s">
        <v>16</v>
      </c>
      <c r="B169" s="80"/>
      <c r="C169" s="75">
        <v>2022</v>
      </c>
      <c r="D169" s="16">
        <f t="shared" ref="D169:I170" si="73">D177+D185+D193+D201+D205+D213+D222+D225+D228+D231+D234+D240</f>
        <v>116103.9</v>
      </c>
      <c r="E169" s="16">
        <f t="shared" si="73"/>
        <v>0</v>
      </c>
      <c r="F169" s="16">
        <f t="shared" si="73"/>
        <v>3164.1</v>
      </c>
      <c r="G169" s="16">
        <f t="shared" si="73"/>
        <v>0</v>
      </c>
      <c r="H169" s="16">
        <f t="shared" si="73"/>
        <v>112939.79999999999</v>
      </c>
      <c r="I169" s="16">
        <f t="shared" si="73"/>
        <v>0</v>
      </c>
      <c r="J169" s="40"/>
      <c r="K169" s="35"/>
      <c r="L169" s="35"/>
      <c r="M169" s="35"/>
      <c r="N169" s="35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</row>
    <row r="170" spans="1:227">
      <c r="A170" s="85"/>
      <c r="B170" s="80"/>
      <c r="C170" s="75">
        <v>2023</v>
      </c>
      <c r="D170" s="16">
        <f t="shared" si="73"/>
        <v>123934.69999999998</v>
      </c>
      <c r="E170" s="16">
        <f t="shared" si="73"/>
        <v>0</v>
      </c>
      <c r="F170" s="16">
        <f t="shared" si="73"/>
        <v>4101.2</v>
      </c>
      <c r="G170" s="16">
        <f t="shared" si="73"/>
        <v>12140.900000000001</v>
      </c>
      <c r="H170" s="16">
        <f t="shared" si="73"/>
        <v>107692.59999999998</v>
      </c>
      <c r="I170" s="16">
        <f t="shared" si="73"/>
        <v>0</v>
      </c>
      <c r="J170" s="40"/>
      <c r="K170" s="35"/>
      <c r="L170" s="56"/>
      <c r="M170" s="3"/>
      <c r="N170" s="56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</row>
    <row r="171" spans="1:227">
      <c r="A171" s="85"/>
      <c r="B171" s="80"/>
      <c r="C171" s="75">
        <v>2024</v>
      </c>
      <c r="D171" s="16">
        <f t="shared" ref="D171:I171" si="74">D179+D187+D195+D203+D207+D215+D236+D242</f>
        <v>193513.5</v>
      </c>
      <c r="E171" s="16">
        <f t="shared" si="74"/>
        <v>0</v>
      </c>
      <c r="F171" s="16">
        <f t="shared" si="74"/>
        <v>3061.2</v>
      </c>
      <c r="G171" s="16">
        <f t="shared" si="74"/>
        <v>76253.7</v>
      </c>
      <c r="H171" s="16">
        <f t="shared" si="74"/>
        <v>104198.6</v>
      </c>
      <c r="I171" s="16">
        <f t="shared" si="74"/>
        <v>10000</v>
      </c>
      <c r="J171" s="40"/>
      <c r="K171" s="35"/>
      <c r="L171" s="56"/>
      <c r="M171" s="3"/>
      <c r="N171" s="56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</row>
    <row r="172" spans="1:227">
      <c r="A172" s="85"/>
      <c r="B172" s="80"/>
      <c r="C172" s="75">
        <v>2025</v>
      </c>
      <c r="D172" s="16">
        <f t="shared" ref="D172:I172" si="75">D180+D188+D196+D208+D216+D219+D237+D243+D245+D248</f>
        <v>124771.8</v>
      </c>
      <c r="E172" s="16">
        <f t="shared" si="75"/>
        <v>0</v>
      </c>
      <c r="F172" s="16">
        <f t="shared" si="75"/>
        <v>3024.2</v>
      </c>
      <c r="G172" s="16">
        <f t="shared" si="75"/>
        <v>27436.9</v>
      </c>
      <c r="H172" s="16">
        <f t="shared" si="75"/>
        <v>87310.7</v>
      </c>
      <c r="I172" s="16">
        <f t="shared" si="75"/>
        <v>7000</v>
      </c>
      <c r="J172" s="40"/>
      <c r="K172" s="40"/>
      <c r="L172" s="53"/>
      <c r="M172" s="53"/>
      <c r="N172" s="5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</row>
    <row r="173" spans="1:227">
      <c r="A173" s="85"/>
      <c r="B173" s="80"/>
      <c r="C173" s="75">
        <v>2026</v>
      </c>
      <c r="D173" s="16">
        <f t="shared" ref="D173:H173" si="76">D181+D189+D197+D209+D217+D238+D246</f>
        <v>138205.79999999999</v>
      </c>
      <c r="E173" s="16">
        <f t="shared" si="76"/>
        <v>0</v>
      </c>
      <c r="F173" s="16">
        <f t="shared" si="76"/>
        <v>3054.3</v>
      </c>
      <c r="G173" s="16">
        <f t="shared" si="76"/>
        <v>19621.7</v>
      </c>
      <c r="H173" s="16">
        <f t="shared" si="76"/>
        <v>109529.80000000002</v>
      </c>
      <c r="I173" s="16">
        <f>I181+I189+I197+I209+I217+I238+I246</f>
        <v>6000</v>
      </c>
      <c r="J173" s="40"/>
      <c r="K173" s="40"/>
      <c r="L173" s="35"/>
      <c r="M173" s="35"/>
      <c r="N173" s="35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</row>
    <row r="174" spans="1:227">
      <c r="A174" s="85"/>
      <c r="B174" s="80"/>
      <c r="C174" s="75">
        <v>2027</v>
      </c>
      <c r="D174" s="16">
        <f t="shared" ref="D174:H175" si="77">D182+D190+D198+D210</f>
        <v>78973.8</v>
      </c>
      <c r="E174" s="16">
        <f t="shared" si="77"/>
        <v>0</v>
      </c>
      <c r="F174" s="16">
        <f t="shared" si="77"/>
        <v>0</v>
      </c>
      <c r="G174" s="16">
        <f t="shared" si="77"/>
        <v>0</v>
      </c>
      <c r="H174" s="16">
        <f t="shared" si="77"/>
        <v>78973.8</v>
      </c>
      <c r="I174" s="16">
        <f>I182+I190+I198+I210</f>
        <v>0</v>
      </c>
      <c r="J174" s="40"/>
      <c r="K174" s="40"/>
      <c r="L174" s="35"/>
      <c r="M174" s="35"/>
      <c r="N174" s="35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</row>
    <row r="175" spans="1:227">
      <c r="A175" s="85"/>
      <c r="B175" s="80"/>
      <c r="C175" s="75">
        <v>2028</v>
      </c>
      <c r="D175" s="16">
        <f t="shared" si="77"/>
        <v>83740</v>
      </c>
      <c r="E175" s="16">
        <f t="shared" si="77"/>
        <v>0</v>
      </c>
      <c r="F175" s="16">
        <f t="shared" si="77"/>
        <v>0</v>
      </c>
      <c r="G175" s="16">
        <f t="shared" si="77"/>
        <v>0</v>
      </c>
      <c r="H175" s="16">
        <f t="shared" si="77"/>
        <v>83740</v>
      </c>
      <c r="I175" s="16">
        <f>I183+I191+I199+I211</f>
        <v>0</v>
      </c>
      <c r="J175" s="40"/>
      <c r="K175" s="40"/>
      <c r="L175" s="35"/>
      <c r="M175" s="35"/>
      <c r="N175" s="35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</row>
    <row r="176" spans="1:227">
      <c r="A176" s="85"/>
      <c r="B176" s="80"/>
      <c r="C176" s="75" t="s">
        <v>16</v>
      </c>
      <c r="D176" s="16">
        <f t="shared" ref="D176:H176" si="78">SUM(D169:D175)</f>
        <v>859243.5</v>
      </c>
      <c r="E176" s="16">
        <f t="shared" si="78"/>
        <v>0</v>
      </c>
      <c r="F176" s="16">
        <f t="shared" si="78"/>
        <v>16405</v>
      </c>
      <c r="G176" s="16">
        <f t="shared" si="78"/>
        <v>135453.20000000001</v>
      </c>
      <c r="H176" s="16">
        <f t="shared" si="78"/>
        <v>684385.3</v>
      </c>
      <c r="I176" s="16">
        <f>SUM(I169:I175)</f>
        <v>23000</v>
      </c>
      <c r="J176" s="40"/>
      <c r="K176" s="35"/>
      <c r="L176" s="35"/>
      <c r="M176" s="35"/>
      <c r="N176" s="35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</row>
    <row r="177" spans="1:227">
      <c r="A177" s="104" t="s">
        <v>33</v>
      </c>
      <c r="B177" s="83"/>
      <c r="C177" s="74">
        <v>2022</v>
      </c>
      <c r="D177" s="15">
        <f t="shared" ref="D177:D182" si="79">SUM(E177:I177)</f>
        <v>49765.7</v>
      </c>
      <c r="E177" s="15">
        <v>0</v>
      </c>
      <c r="F177" s="15">
        <v>0</v>
      </c>
      <c r="G177" s="15">
        <v>0</v>
      </c>
      <c r="H177" s="15">
        <v>49765.7</v>
      </c>
      <c r="I177" s="15">
        <v>0</v>
      </c>
      <c r="J177" s="42"/>
    </row>
    <row r="178" spans="1:227" s="6" customFormat="1">
      <c r="A178" s="104"/>
      <c r="B178" s="83"/>
      <c r="C178" s="74">
        <v>2023</v>
      </c>
      <c r="D178" s="15">
        <f t="shared" si="79"/>
        <v>42525.2</v>
      </c>
      <c r="E178" s="15">
        <v>0</v>
      </c>
      <c r="F178" s="15">
        <v>0</v>
      </c>
      <c r="G178" s="15">
        <v>0</v>
      </c>
      <c r="H178" s="15">
        <v>42525.2</v>
      </c>
      <c r="I178" s="15">
        <v>0</v>
      </c>
      <c r="J178" s="42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</row>
    <row r="179" spans="1:227" s="6" customFormat="1">
      <c r="A179" s="104"/>
      <c r="B179" s="83"/>
      <c r="C179" s="74">
        <v>2024</v>
      </c>
      <c r="D179" s="15">
        <f t="shared" si="79"/>
        <v>30396.2</v>
      </c>
      <c r="E179" s="15">
        <v>0</v>
      </c>
      <c r="F179" s="15">
        <v>0</v>
      </c>
      <c r="G179" s="15">
        <v>0</v>
      </c>
      <c r="H179" s="15">
        <v>30396.2</v>
      </c>
      <c r="I179" s="15">
        <v>0</v>
      </c>
      <c r="J179" s="42"/>
      <c r="K179" s="50"/>
      <c r="L179" s="54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</row>
    <row r="180" spans="1:227" s="6" customFormat="1">
      <c r="A180" s="104"/>
      <c r="B180" s="83"/>
      <c r="C180" s="74">
        <v>2025</v>
      </c>
      <c r="D180" s="15">
        <f t="shared" si="79"/>
        <v>58124.800000000003</v>
      </c>
      <c r="E180" s="15">
        <v>0</v>
      </c>
      <c r="F180" s="15">
        <v>0</v>
      </c>
      <c r="G180" s="15">
        <v>0</v>
      </c>
      <c r="H180" s="15">
        <f>29916.9+23910-2670.5-0.1-162+130.5</f>
        <v>51124.800000000003</v>
      </c>
      <c r="I180" s="15">
        <v>7000</v>
      </c>
      <c r="J180" s="42"/>
      <c r="K180" s="49"/>
      <c r="L180" s="42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</row>
    <row r="181" spans="1:227" s="6" customFormat="1">
      <c r="A181" s="104"/>
      <c r="B181" s="83"/>
      <c r="C181" s="74">
        <v>2026</v>
      </c>
      <c r="D181" s="15">
        <f t="shared" si="79"/>
        <v>83655.600000000006</v>
      </c>
      <c r="E181" s="15">
        <v>0</v>
      </c>
      <c r="F181" s="15">
        <v>0</v>
      </c>
      <c r="G181" s="15">
        <v>0</v>
      </c>
      <c r="H181" s="15">
        <f>66898.3+12757.3-2000</f>
        <v>77655.600000000006</v>
      </c>
      <c r="I181" s="15">
        <f>0+6000</f>
        <v>6000</v>
      </c>
      <c r="J181" s="73"/>
      <c r="K181" s="42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</row>
    <row r="182" spans="1:227" s="6" customFormat="1">
      <c r="A182" s="104"/>
      <c r="B182" s="83"/>
      <c r="C182" s="74">
        <v>2027</v>
      </c>
      <c r="D182" s="15">
        <f t="shared" si="79"/>
        <v>44708</v>
      </c>
      <c r="E182" s="15">
        <v>0</v>
      </c>
      <c r="F182" s="15">
        <v>0</v>
      </c>
      <c r="G182" s="15">
        <v>0</v>
      </c>
      <c r="H182" s="15">
        <f>49474.2-4766.2</f>
        <v>44708</v>
      </c>
      <c r="I182" s="15">
        <v>0</v>
      </c>
      <c r="J182" s="42"/>
      <c r="K182" s="42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</row>
    <row r="183" spans="1:227" s="6" customFormat="1">
      <c r="A183" s="104"/>
      <c r="B183" s="83"/>
      <c r="C183" s="74">
        <v>2028</v>
      </c>
      <c r="D183" s="15">
        <f>SUM(E183:I183)</f>
        <v>49474.2</v>
      </c>
      <c r="E183" s="15">
        <v>0</v>
      </c>
      <c r="F183" s="15">
        <v>0</v>
      </c>
      <c r="G183" s="15">
        <v>0</v>
      </c>
      <c r="H183" s="15">
        <v>49474.2</v>
      </c>
      <c r="I183" s="15">
        <v>0</v>
      </c>
      <c r="J183" s="42"/>
      <c r="K183" s="42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</row>
    <row r="184" spans="1:227" s="6" customFormat="1">
      <c r="A184" s="104"/>
      <c r="B184" s="83"/>
      <c r="C184" s="74" t="s">
        <v>16</v>
      </c>
      <c r="D184" s="15">
        <f>SUM(D177:D183)</f>
        <v>358649.7</v>
      </c>
      <c r="E184" s="15">
        <f t="shared" ref="E184:H184" si="80">SUM(E177:E183)</f>
        <v>0</v>
      </c>
      <c r="F184" s="15">
        <f t="shared" si="80"/>
        <v>0</v>
      </c>
      <c r="G184" s="15">
        <f t="shared" si="80"/>
        <v>0</v>
      </c>
      <c r="H184" s="15">
        <f t="shared" si="80"/>
        <v>345649.7</v>
      </c>
      <c r="I184" s="15">
        <f>SUM(I177:I183)</f>
        <v>13000</v>
      </c>
      <c r="J184" s="42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</row>
    <row r="185" spans="1:227" s="6" customFormat="1">
      <c r="A185" s="81" t="s">
        <v>34</v>
      </c>
      <c r="B185" s="83"/>
      <c r="C185" s="74">
        <v>2022</v>
      </c>
      <c r="D185" s="15">
        <f t="shared" ref="D185:D190" si="81">SUM(E185:I185)</f>
        <v>9189</v>
      </c>
      <c r="E185" s="15">
        <v>0</v>
      </c>
      <c r="F185" s="15">
        <v>0</v>
      </c>
      <c r="G185" s="15">
        <v>0</v>
      </c>
      <c r="H185" s="15">
        <v>9189</v>
      </c>
      <c r="I185" s="15">
        <v>0</v>
      </c>
      <c r="J185" s="42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</row>
    <row r="186" spans="1:227" s="6" customFormat="1">
      <c r="A186" s="84"/>
      <c r="B186" s="83"/>
      <c r="C186" s="74">
        <v>2023</v>
      </c>
      <c r="D186" s="15">
        <f t="shared" si="81"/>
        <v>9773.1</v>
      </c>
      <c r="E186" s="15">
        <v>0</v>
      </c>
      <c r="F186" s="15">
        <v>0</v>
      </c>
      <c r="G186" s="15">
        <v>0</v>
      </c>
      <c r="H186" s="15">
        <v>9773.1</v>
      </c>
      <c r="I186" s="15">
        <v>0</v>
      </c>
      <c r="J186" s="42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</row>
    <row r="187" spans="1:227" s="6" customFormat="1">
      <c r="A187" s="84"/>
      <c r="B187" s="83"/>
      <c r="C187" s="74">
        <v>2024</v>
      </c>
      <c r="D187" s="15">
        <f t="shared" si="81"/>
        <v>8391.7999999999993</v>
      </c>
      <c r="E187" s="15">
        <v>0</v>
      </c>
      <c r="F187" s="15">
        <v>0</v>
      </c>
      <c r="G187" s="15">
        <v>0</v>
      </c>
      <c r="H187" s="15">
        <v>8391.7999999999993</v>
      </c>
      <c r="I187" s="15">
        <v>0</v>
      </c>
      <c r="J187" s="42"/>
      <c r="K187" s="31"/>
      <c r="L187" s="5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</row>
    <row r="188" spans="1:227" s="6" customFormat="1">
      <c r="A188" s="84"/>
      <c r="B188" s="83"/>
      <c r="C188" s="74">
        <v>2025</v>
      </c>
      <c r="D188" s="15">
        <f t="shared" si="81"/>
        <v>9728.2999999999993</v>
      </c>
      <c r="E188" s="15">
        <v>0</v>
      </c>
      <c r="F188" s="15">
        <v>0</v>
      </c>
      <c r="G188" s="15">
        <v>0</v>
      </c>
      <c r="H188" s="15">
        <f>9575.3+153</f>
        <v>9728.2999999999993</v>
      </c>
      <c r="I188" s="15">
        <v>0</v>
      </c>
      <c r="J188" s="42"/>
      <c r="K188" s="42"/>
      <c r="L188" s="42"/>
      <c r="N188" s="31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</row>
    <row r="189" spans="1:227" s="6" customFormat="1">
      <c r="A189" s="84"/>
      <c r="B189" s="83"/>
      <c r="C189" s="74">
        <v>2026</v>
      </c>
      <c r="D189" s="15">
        <f t="shared" si="81"/>
        <v>9571.7999999999993</v>
      </c>
      <c r="E189" s="15">
        <v>0</v>
      </c>
      <c r="F189" s="15">
        <v>0</v>
      </c>
      <c r="G189" s="15">
        <v>0</v>
      </c>
      <c r="H189" s="15">
        <v>9571.7999999999993</v>
      </c>
      <c r="I189" s="15">
        <v>0</v>
      </c>
      <c r="J189" s="42"/>
      <c r="K189" s="42"/>
      <c r="N189" s="31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</row>
    <row r="190" spans="1:227" s="6" customFormat="1">
      <c r="A190" s="84"/>
      <c r="B190" s="83"/>
      <c r="C190" s="74">
        <v>2027</v>
      </c>
      <c r="D190" s="15">
        <f t="shared" si="81"/>
        <v>9571.7999999999993</v>
      </c>
      <c r="E190" s="15">
        <v>0</v>
      </c>
      <c r="F190" s="15">
        <v>0</v>
      </c>
      <c r="G190" s="15">
        <v>0</v>
      </c>
      <c r="H190" s="15">
        <v>9571.7999999999993</v>
      </c>
      <c r="I190" s="15">
        <v>0</v>
      </c>
      <c r="J190" s="42"/>
      <c r="K190" s="42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</row>
    <row r="191" spans="1:227" s="6" customFormat="1">
      <c r="A191" s="84"/>
      <c r="B191" s="83"/>
      <c r="C191" s="74">
        <v>2028</v>
      </c>
      <c r="D191" s="15">
        <f>SUM(E191:I191)</f>
        <v>9571.7999999999993</v>
      </c>
      <c r="E191" s="15">
        <v>0</v>
      </c>
      <c r="F191" s="15">
        <v>0</v>
      </c>
      <c r="G191" s="15">
        <v>0</v>
      </c>
      <c r="H191" s="15">
        <v>9571.7999999999993</v>
      </c>
      <c r="I191" s="15">
        <v>0</v>
      </c>
      <c r="J191" s="42"/>
      <c r="K191" s="42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</row>
    <row r="192" spans="1:227" s="6" customFormat="1">
      <c r="A192" s="82"/>
      <c r="B192" s="83"/>
      <c r="C192" s="74" t="s">
        <v>16</v>
      </c>
      <c r="D192" s="15">
        <f>SUM(D185:D191)</f>
        <v>65797.600000000006</v>
      </c>
      <c r="E192" s="15">
        <f t="shared" ref="E192:H192" si="82">SUM(E185:E191)</f>
        <v>0</v>
      </c>
      <c r="F192" s="15">
        <f t="shared" si="82"/>
        <v>0</v>
      </c>
      <c r="G192" s="15">
        <f t="shared" si="82"/>
        <v>0</v>
      </c>
      <c r="H192" s="15">
        <f t="shared" si="82"/>
        <v>65797.600000000006</v>
      </c>
      <c r="I192" s="15">
        <f>SUM(I185:I191)</f>
        <v>0</v>
      </c>
      <c r="J192" s="42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</row>
    <row r="193" spans="1:227" s="6" customFormat="1">
      <c r="A193" s="81" t="s">
        <v>35</v>
      </c>
      <c r="B193" s="83"/>
      <c r="C193" s="74">
        <v>2022</v>
      </c>
      <c r="D193" s="22">
        <f t="shared" ref="D193:D198" si="83">SUM(E193:I193)</f>
        <v>16065.4</v>
      </c>
      <c r="E193" s="15">
        <v>0</v>
      </c>
      <c r="F193" s="15">
        <v>0</v>
      </c>
      <c r="G193" s="15">
        <v>0</v>
      </c>
      <c r="H193" s="15">
        <v>16065.4</v>
      </c>
      <c r="I193" s="15">
        <v>0</v>
      </c>
      <c r="J193" s="42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</row>
    <row r="194" spans="1:227" s="6" customFormat="1">
      <c r="A194" s="84"/>
      <c r="B194" s="83"/>
      <c r="C194" s="74">
        <v>2023</v>
      </c>
      <c r="D194" s="22">
        <f t="shared" si="83"/>
        <v>23656.2</v>
      </c>
      <c r="E194" s="15">
        <v>0</v>
      </c>
      <c r="F194" s="15">
        <v>0</v>
      </c>
      <c r="G194" s="15">
        <v>0</v>
      </c>
      <c r="H194" s="15">
        <v>23656.2</v>
      </c>
      <c r="I194" s="15">
        <v>0</v>
      </c>
      <c r="J194" s="42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</row>
    <row r="195" spans="1:227" s="6" customFormat="1">
      <c r="A195" s="84"/>
      <c r="B195" s="83"/>
      <c r="C195" s="74">
        <v>2024</v>
      </c>
      <c r="D195" s="22">
        <f t="shared" si="83"/>
        <v>18248.3</v>
      </c>
      <c r="E195" s="15">
        <v>0</v>
      </c>
      <c r="F195" s="15">
        <v>0</v>
      </c>
      <c r="G195" s="15">
        <v>0</v>
      </c>
      <c r="H195" s="15">
        <v>18248.3</v>
      </c>
      <c r="I195" s="15">
        <v>0</v>
      </c>
      <c r="J195" s="42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</row>
    <row r="196" spans="1:227" s="6" customFormat="1">
      <c r="A196" s="84"/>
      <c r="B196" s="83"/>
      <c r="C196" s="74">
        <v>2025</v>
      </c>
      <c r="D196" s="22">
        <f t="shared" si="83"/>
        <v>20665</v>
      </c>
      <c r="E196" s="15">
        <v>0</v>
      </c>
      <c r="F196" s="15">
        <v>0</v>
      </c>
      <c r="G196" s="15">
        <v>0</v>
      </c>
      <c r="H196" s="15">
        <f>19065+1600</f>
        <v>20665</v>
      </c>
      <c r="I196" s="15">
        <v>0</v>
      </c>
      <c r="J196" s="42"/>
      <c r="K196" s="42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</row>
    <row r="197" spans="1:227" s="6" customFormat="1">
      <c r="A197" s="84"/>
      <c r="B197" s="83"/>
      <c r="C197" s="74">
        <v>2026</v>
      </c>
      <c r="D197" s="22">
        <f t="shared" si="83"/>
        <v>20294</v>
      </c>
      <c r="E197" s="15">
        <v>0</v>
      </c>
      <c r="F197" s="15">
        <v>0</v>
      </c>
      <c r="G197" s="15">
        <v>0</v>
      </c>
      <c r="H197" s="15">
        <v>20294</v>
      </c>
      <c r="I197" s="15">
        <v>0</v>
      </c>
      <c r="J197" s="42"/>
      <c r="K197" s="42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</row>
    <row r="198" spans="1:227" s="6" customFormat="1">
      <c r="A198" s="84"/>
      <c r="B198" s="83"/>
      <c r="C198" s="74">
        <v>2027</v>
      </c>
      <c r="D198" s="22">
        <f t="shared" si="83"/>
        <v>20294</v>
      </c>
      <c r="E198" s="15">
        <v>0</v>
      </c>
      <c r="F198" s="15">
        <v>0</v>
      </c>
      <c r="G198" s="15">
        <v>0</v>
      </c>
      <c r="H198" s="15">
        <v>20294</v>
      </c>
      <c r="I198" s="15">
        <v>0</v>
      </c>
      <c r="J198" s="42"/>
      <c r="K198" s="42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</row>
    <row r="199" spans="1:227" s="6" customFormat="1">
      <c r="A199" s="84"/>
      <c r="B199" s="83"/>
      <c r="C199" s="74">
        <v>2028</v>
      </c>
      <c r="D199" s="15">
        <f>SUM(E199:I199)</f>
        <v>20294</v>
      </c>
      <c r="E199" s="15">
        <v>0</v>
      </c>
      <c r="F199" s="15">
        <v>0</v>
      </c>
      <c r="G199" s="15">
        <v>0</v>
      </c>
      <c r="H199" s="15">
        <v>20294</v>
      </c>
      <c r="I199" s="15">
        <v>0</v>
      </c>
      <c r="J199" s="42"/>
      <c r="K199" s="42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</row>
    <row r="200" spans="1:227" s="6" customFormat="1">
      <c r="A200" s="82"/>
      <c r="B200" s="83"/>
      <c r="C200" s="74" t="s">
        <v>16</v>
      </c>
      <c r="D200" s="22">
        <f>SUM(D193:D199)</f>
        <v>139516.9</v>
      </c>
      <c r="E200" s="22">
        <f t="shared" ref="E200:H200" si="84">SUM(E193:E199)</f>
        <v>0</v>
      </c>
      <c r="F200" s="22">
        <f t="shared" si="84"/>
        <v>0</v>
      </c>
      <c r="G200" s="22">
        <f t="shared" si="84"/>
        <v>0</v>
      </c>
      <c r="H200" s="22">
        <f t="shared" si="84"/>
        <v>139516.9</v>
      </c>
      <c r="I200" s="22">
        <f>SUM(I193:I199)</f>
        <v>0</v>
      </c>
      <c r="J200" s="42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</row>
    <row r="201" spans="1:227" s="6" customFormat="1" ht="18.75" customHeight="1">
      <c r="A201" s="81" t="s">
        <v>36</v>
      </c>
      <c r="B201" s="83"/>
      <c r="C201" s="74">
        <v>2022</v>
      </c>
      <c r="D201" s="15">
        <f t="shared" ref="D201:D203" si="85">SUM(E201:I201)</f>
        <v>17098.7</v>
      </c>
      <c r="E201" s="15">
        <v>0</v>
      </c>
      <c r="F201" s="15">
        <v>0</v>
      </c>
      <c r="G201" s="15">
        <v>0</v>
      </c>
      <c r="H201" s="15">
        <v>17098.7</v>
      </c>
      <c r="I201" s="15">
        <v>0</v>
      </c>
      <c r="J201" s="42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</row>
    <row r="202" spans="1:227" s="6" customFormat="1">
      <c r="A202" s="84"/>
      <c r="B202" s="83"/>
      <c r="C202" s="74">
        <v>2023</v>
      </c>
      <c r="D202" s="15">
        <f t="shared" si="85"/>
        <v>5196.8999999999996</v>
      </c>
      <c r="E202" s="15">
        <v>0</v>
      </c>
      <c r="F202" s="15">
        <v>0</v>
      </c>
      <c r="G202" s="15">
        <v>0</v>
      </c>
      <c r="H202" s="15">
        <v>5196.8999999999996</v>
      </c>
      <c r="I202" s="15">
        <v>0</v>
      </c>
      <c r="J202" s="42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</row>
    <row r="203" spans="1:227">
      <c r="A203" s="84"/>
      <c r="B203" s="83"/>
      <c r="C203" s="74">
        <v>2024</v>
      </c>
      <c r="D203" s="15">
        <f t="shared" si="85"/>
        <v>49770.400000000001</v>
      </c>
      <c r="E203" s="15">
        <v>0</v>
      </c>
      <c r="F203" s="15">
        <v>0</v>
      </c>
      <c r="G203" s="15">
        <v>0</v>
      </c>
      <c r="H203" s="15">
        <v>39770.400000000001</v>
      </c>
      <c r="I203" s="15">
        <v>10000</v>
      </c>
      <c r="J203" s="42"/>
    </row>
    <row r="204" spans="1:227">
      <c r="A204" s="82"/>
      <c r="B204" s="83"/>
      <c r="C204" s="74" t="s">
        <v>16</v>
      </c>
      <c r="D204" s="15">
        <f t="shared" ref="D204:I204" si="86">SUM(D201:D203)</f>
        <v>72066</v>
      </c>
      <c r="E204" s="15">
        <f t="shared" si="86"/>
        <v>0</v>
      </c>
      <c r="F204" s="15">
        <f t="shared" si="86"/>
        <v>0</v>
      </c>
      <c r="G204" s="15">
        <f t="shared" si="86"/>
        <v>0</v>
      </c>
      <c r="H204" s="15">
        <f t="shared" si="86"/>
        <v>62066</v>
      </c>
      <c r="I204" s="15">
        <f t="shared" si="86"/>
        <v>10000</v>
      </c>
      <c r="J204" s="42"/>
    </row>
    <row r="205" spans="1:227">
      <c r="A205" s="81" t="s">
        <v>37</v>
      </c>
      <c r="B205" s="83"/>
      <c r="C205" s="74">
        <v>2022</v>
      </c>
      <c r="D205" s="15">
        <f t="shared" ref="D205:D211" si="87">SUM(E205:I205)</f>
        <v>20168.8</v>
      </c>
      <c r="E205" s="15">
        <v>0</v>
      </c>
      <c r="F205" s="15">
        <v>0</v>
      </c>
      <c r="G205" s="15">
        <v>0</v>
      </c>
      <c r="H205" s="15">
        <v>20168.8</v>
      </c>
      <c r="I205" s="15">
        <v>0</v>
      </c>
      <c r="J205" s="42"/>
    </row>
    <row r="206" spans="1:227">
      <c r="A206" s="84"/>
      <c r="B206" s="83"/>
      <c r="C206" s="74">
        <v>2023</v>
      </c>
      <c r="D206" s="15">
        <f t="shared" si="87"/>
        <v>21829.200000000001</v>
      </c>
      <c r="E206" s="15">
        <v>0</v>
      </c>
      <c r="F206" s="15">
        <v>0</v>
      </c>
      <c r="G206" s="15">
        <v>0</v>
      </c>
      <c r="H206" s="15">
        <v>21829.200000000001</v>
      </c>
      <c r="I206" s="15">
        <v>0</v>
      </c>
      <c r="J206" s="42"/>
    </row>
    <row r="207" spans="1:227">
      <c r="A207" s="84"/>
      <c r="B207" s="83"/>
      <c r="C207" s="74">
        <v>2024</v>
      </c>
      <c r="D207" s="15">
        <f t="shared" si="87"/>
        <v>1303.7</v>
      </c>
      <c r="E207" s="15">
        <v>0</v>
      </c>
      <c r="F207" s="15">
        <v>0</v>
      </c>
      <c r="G207" s="15">
        <v>0</v>
      </c>
      <c r="H207" s="15">
        <v>1303.7</v>
      </c>
      <c r="I207" s="15">
        <v>0</v>
      </c>
      <c r="J207" s="42"/>
    </row>
    <row r="208" spans="1:227">
      <c r="A208" s="84"/>
      <c r="B208" s="83"/>
      <c r="C208" s="74">
        <v>2025</v>
      </c>
      <c r="D208" s="15">
        <f t="shared" si="87"/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42"/>
      <c r="K208" s="42"/>
    </row>
    <row r="209" spans="1:227">
      <c r="A209" s="84"/>
      <c r="B209" s="83"/>
      <c r="C209" s="74">
        <v>2026</v>
      </c>
      <c r="D209" s="15">
        <f t="shared" si="87"/>
        <v>0</v>
      </c>
      <c r="E209" s="15">
        <v>0</v>
      </c>
      <c r="F209" s="15">
        <v>0</v>
      </c>
      <c r="G209" s="15">
        <v>0</v>
      </c>
      <c r="H209" s="15">
        <f>4400-4400</f>
        <v>0</v>
      </c>
      <c r="I209" s="15">
        <v>0</v>
      </c>
      <c r="J209" s="73"/>
      <c r="K209" s="42"/>
    </row>
    <row r="210" spans="1:227">
      <c r="A210" s="84"/>
      <c r="B210" s="83"/>
      <c r="C210" s="74">
        <v>2027</v>
      </c>
      <c r="D210" s="15">
        <f t="shared" si="87"/>
        <v>4400</v>
      </c>
      <c r="E210" s="15">
        <v>0</v>
      </c>
      <c r="F210" s="15">
        <v>0</v>
      </c>
      <c r="G210" s="15">
        <v>0</v>
      </c>
      <c r="H210" s="15">
        <v>4400</v>
      </c>
      <c r="I210" s="15">
        <v>0</v>
      </c>
      <c r="J210" s="42"/>
      <c r="K210" s="42"/>
    </row>
    <row r="211" spans="1:227">
      <c r="A211" s="84"/>
      <c r="B211" s="83"/>
      <c r="C211" s="74">
        <v>2028</v>
      </c>
      <c r="D211" s="15">
        <f t="shared" si="87"/>
        <v>4400</v>
      </c>
      <c r="E211" s="15">
        <v>0</v>
      </c>
      <c r="F211" s="15">
        <v>0</v>
      </c>
      <c r="G211" s="15">
        <v>0</v>
      </c>
      <c r="H211" s="15">
        <v>4400</v>
      </c>
      <c r="I211" s="15">
        <v>0</v>
      </c>
      <c r="J211" s="42"/>
      <c r="K211" s="42"/>
    </row>
    <row r="212" spans="1:227">
      <c r="A212" s="82"/>
      <c r="B212" s="83"/>
      <c r="C212" s="74" t="s">
        <v>16</v>
      </c>
      <c r="D212" s="15">
        <f>SUM(D205:D211)</f>
        <v>52101.7</v>
      </c>
      <c r="E212" s="15">
        <f t="shared" ref="E212:H212" si="88">SUM(E205:E211)</f>
        <v>0</v>
      </c>
      <c r="F212" s="15">
        <f t="shared" si="88"/>
        <v>0</v>
      </c>
      <c r="G212" s="15">
        <f t="shared" si="88"/>
        <v>0</v>
      </c>
      <c r="H212" s="15">
        <f t="shared" si="88"/>
        <v>52101.7</v>
      </c>
      <c r="I212" s="15">
        <f>SUM(I205:I211)</f>
        <v>0</v>
      </c>
      <c r="J212" s="42"/>
    </row>
    <row r="213" spans="1:227" ht="39.950000000000003" customHeight="1">
      <c r="A213" s="90" t="s">
        <v>81</v>
      </c>
      <c r="B213" s="83"/>
      <c r="C213" s="74">
        <v>2022</v>
      </c>
      <c r="D213" s="15">
        <f t="shared" ref="D213:D215" si="89">SUM(E213:I213)</f>
        <v>3816.3</v>
      </c>
      <c r="E213" s="15">
        <v>0</v>
      </c>
      <c r="F213" s="15">
        <v>3164.1</v>
      </c>
      <c r="G213" s="15">
        <v>0</v>
      </c>
      <c r="H213" s="15">
        <v>652.20000000000005</v>
      </c>
      <c r="I213" s="15">
        <v>0</v>
      </c>
      <c r="J213" s="42"/>
      <c r="K213" s="36"/>
      <c r="L213" s="36"/>
      <c r="M213" s="36"/>
      <c r="N213" s="36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</row>
    <row r="214" spans="1:227" ht="39.950000000000003" customHeight="1">
      <c r="A214" s="103"/>
      <c r="B214" s="83"/>
      <c r="C214" s="74">
        <v>2023</v>
      </c>
      <c r="D214" s="15">
        <f t="shared" si="89"/>
        <v>3803.3999999999996</v>
      </c>
      <c r="E214" s="15">
        <v>0</v>
      </c>
      <c r="F214" s="15">
        <v>3151.2</v>
      </c>
      <c r="G214" s="15">
        <v>0</v>
      </c>
      <c r="H214" s="15">
        <v>652.20000000000005</v>
      </c>
      <c r="I214" s="15">
        <v>0</v>
      </c>
      <c r="J214" s="42"/>
      <c r="K214" s="36"/>
      <c r="L214" s="36"/>
      <c r="M214" s="36"/>
      <c r="N214" s="36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</row>
    <row r="215" spans="1:227" ht="39.950000000000003" customHeight="1">
      <c r="A215" s="103"/>
      <c r="B215" s="83"/>
      <c r="C215" s="74">
        <v>2024</v>
      </c>
      <c r="D215" s="15">
        <f t="shared" si="89"/>
        <v>3291.6</v>
      </c>
      <c r="E215" s="15">
        <v>0</v>
      </c>
      <c r="F215" s="15">
        <v>3061.2</v>
      </c>
      <c r="G215" s="15">
        <v>0</v>
      </c>
      <c r="H215" s="15">
        <v>230.4</v>
      </c>
      <c r="I215" s="15">
        <v>0</v>
      </c>
      <c r="J215" s="42"/>
      <c r="K215" s="36"/>
      <c r="L215" s="36"/>
      <c r="M215" s="36"/>
      <c r="N215" s="36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</row>
    <row r="216" spans="1:227" ht="39.950000000000003" customHeight="1">
      <c r="A216" s="103"/>
      <c r="B216" s="83"/>
      <c r="C216" s="74">
        <v>2025</v>
      </c>
      <c r="D216" s="15">
        <f>SUM(E216:I216)</f>
        <v>3251.7999999999997</v>
      </c>
      <c r="E216" s="15">
        <v>0</v>
      </c>
      <c r="F216" s="15">
        <v>3024.2</v>
      </c>
      <c r="G216" s="15">
        <v>227.6</v>
      </c>
      <c r="H216" s="15">
        <v>0</v>
      </c>
      <c r="I216" s="15">
        <v>0</v>
      </c>
      <c r="J216" s="42"/>
      <c r="K216" s="42"/>
      <c r="L216" s="36"/>
      <c r="M216" s="36"/>
      <c r="N216" s="36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</row>
    <row r="217" spans="1:227" ht="39.950000000000003" customHeight="1">
      <c r="A217" s="103"/>
      <c r="B217" s="83"/>
      <c r="C217" s="74">
        <v>2026</v>
      </c>
      <c r="D217" s="15">
        <f>SUM(E217:I217)</f>
        <v>3356.4</v>
      </c>
      <c r="E217" s="15">
        <v>0</v>
      </c>
      <c r="F217" s="15">
        <v>3054.3</v>
      </c>
      <c r="G217" s="15">
        <v>0</v>
      </c>
      <c r="H217" s="15">
        <v>302.10000000000002</v>
      </c>
      <c r="I217" s="15">
        <v>0</v>
      </c>
      <c r="J217" s="42"/>
      <c r="K217" s="42"/>
      <c r="L217" s="36"/>
      <c r="M217" s="36"/>
      <c r="N217" s="36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</row>
    <row r="218" spans="1:227" ht="51.75" customHeight="1">
      <c r="A218" s="91"/>
      <c r="B218" s="83"/>
      <c r="C218" s="74" t="s">
        <v>16</v>
      </c>
      <c r="D218" s="22">
        <f>SUM(D213:D217)</f>
        <v>17519.5</v>
      </c>
      <c r="E218" s="22">
        <f t="shared" ref="E218:I218" si="90">SUM(E213:E217)</f>
        <v>0</v>
      </c>
      <c r="F218" s="22">
        <f t="shared" si="90"/>
        <v>15455</v>
      </c>
      <c r="G218" s="22">
        <f t="shared" si="90"/>
        <v>227.6</v>
      </c>
      <c r="H218" s="22">
        <f t="shared" si="90"/>
        <v>1836.9</v>
      </c>
      <c r="I218" s="22">
        <f t="shared" si="90"/>
        <v>0</v>
      </c>
      <c r="J218" s="42"/>
      <c r="K218" s="36"/>
      <c r="L218" s="36"/>
      <c r="M218" s="36"/>
      <c r="N218" s="36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</row>
    <row r="219" spans="1:227" s="6" customFormat="1" ht="34.5" customHeight="1">
      <c r="A219" s="81" t="s">
        <v>82</v>
      </c>
      <c r="B219" s="83"/>
      <c r="C219" s="74">
        <v>2025</v>
      </c>
      <c r="D219" s="15">
        <f t="shared" ref="D219" si="91">SUM(E219:I219)</f>
        <v>141.19999999999999</v>
      </c>
      <c r="E219" s="15">
        <v>0</v>
      </c>
      <c r="F219" s="15">
        <v>0</v>
      </c>
      <c r="G219" s="15">
        <v>0</v>
      </c>
      <c r="H219" s="15">
        <v>141.19999999999999</v>
      </c>
      <c r="I219" s="15">
        <v>0</v>
      </c>
      <c r="J219" s="42"/>
      <c r="K219" s="42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</row>
    <row r="220" spans="1:227" s="65" customFormat="1" ht="39.75" customHeight="1">
      <c r="A220" s="84"/>
      <c r="B220" s="83"/>
      <c r="C220" s="74">
        <v>2026</v>
      </c>
      <c r="D220" s="15">
        <f>SUM(E220:I220)</f>
        <v>3356.4</v>
      </c>
      <c r="E220" s="15">
        <v>0</v>
      </c>
      <c r="F220" s="15">
        <v>3054.3</v>
      </c>
      <c r="G220" s="15">
        <v>0</v>
      </c>
      <c r="H220" s="15">
        <v>302.10000000000002</v>
      </c>
      <c r="I220" s="15">
        <v>0</v>
      </c>
      <c r="J220" s="42"/>
      <c r="K220" s="42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</row>
    <row r="221" spans="1:227" ht="62.25" customHeight="1">
      <c r="A221" s="82"/>
      <c r="B221" s="83"/>
      <c r="C221" s="74" t="s">
        <v>16</v>
      </c>
      <c r="D221" s="15">
        <f t="shared" ref="D221:H221" si="92">SUM(D219:D220)</f>
        <v>3497.6</v>
      </c>
      <c r="E221" s="15">
        <f t="shared" si="92"/>
        <v>0</v>
      </c>
      <c r="F221" s="15">
        <f t="shared" si="92"/>
        <v>3054.3</v>
      </c>
      <c r="G221" s="15">
        <f t="shared" si="92"/>
        <v>0</v>
      </c>
      <c r="H221" s="15">
        <f t="shared" si="92"/>
        <v>443.3</v>
      </c>
      <c r="I221" s="15">
        <f>SUM(I219:I220)</f>
        <v>0</v>
      </c>
      <c r="J221" s="42"/>
    </row>
    <row r="222" spans="1:227" ht="18.75" customHeight="1">
      <c r="A222" s="81" t="s">
        <v>38</v>
      </c>
      <c r="B222" s="83"/>
      <c r="C222" s="74">
        <v>2022</v>
      </c>
      <c r="D222" s="15">
        <f t="shared" ref="D222:D223" si="93">SUM(E222:I222)</f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42"/>
    </row>
    <row r="223" spans="1:227">
      <c r="A223" s="84"/>
      <c r="B223" s="83"/>
      <c r="C223" s="74">
        <v>2023</v>
      </c>
      <c r="D223" s="15">
        <f t="shared" si="93"/>
        <v>3431</v>
      </c>
      <c r="E223" s="15">
        <v>0</v>
      </c>
      <c r="F223" s="15">
        <v>0</v>
      </c>
      <c r="G223" s="15">
        <v>0</v>
      </c>
      <c r="H223" s="15">
        <v>3431</v>
      </c>
      <c r="I223" s="15">
        <v>0</v>
      </c>
      <c r="J223" s="42"/>
    </row>
    <row r="224" spans="1:227" s="6" customFormat="1">
      <c r="A224" s="82"/>
      <c r="B224" s="83"/>
      <c r="C224" s="74" t="s">
        <v>16</v>
      </c>
      <c r="D224" s="15">
        <f t="shared" ref="D224:I224" si="94">SUM(D222:D223)</f>
        <v>3431</v>
      </c>
      <c r="E224" s="15">
        <f t="shared" si="94"/>
        <v>0</v>
      </c>
      <c r="F224" s="15">
        <f t="shared" si="94"/>
        <v>0</v>
      </c>
      <c r="G224" s="15">
        <f t="shared" si="94"/>
        <v>0</v>
      </c>
      <c r="H224" s="15">
        <f t="shared" si="94"/>
        <v>3431</v>
      </c>
      <c r="I224" s="15">
        <f t="shared" si="94"/>
        <v>0</v>
      </c>
      <c r="J224" s="42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</row>
    <row r="225" spans="1:227" s="6" customFormat="1">
      <c r="A225" s="81" t="s">
        <v>65</v>
      </c>
      <c r="B225" s="83"/>
      <c r="C225" s="74">
        <v>2022</v>
      </c>
      <c r="D225" s="15">
        <f>SUM(E225:I225)</f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42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</row>
    <row r="226" spans="1:227" s="6" customFormat="1">
      <c r="A226" s="84"/>
      <c r="B226" s="83"/>
      <c r="C226" s="74">
        <v>2023</v>
      </c>
      <c r="D226" s="15">
        <f>SUM(E226:I226)</f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42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</row>
    <row r="227" spans="1:227" s="6" customFormat="1">
      <c r="A227" s="82"/>
      <c r="B227" s="83"/>
      <c r="C227" s="74" t="s">
        <v>16</v>
      </c>
      <c r="D227" s="15">
        <f>SUM(D225:D226)</f>
        <v>0</v>
      </c>
      <c r="E227" s="15">
        <f t="shared" ref="E227:I227" si="95">SUM(E225:E226)</f>
        <v>0</v>
      </c>
      <c r="F227" s="15">
        <f t="shared" si="95"/>
        <v>0</v>
      </c>
      <c r="G227" s="15">
        <f t="shared" si="95"/>
        <v>0</v>
      </c>
      <c r="H227" s="15">
        <f t="shared" si="95"/>
        <v>0</v>
      </c>
      <c r="I227" s="15">
        <f t="shared" si="95"/>
        <v>0</v>
      </c>
      <c r="J227" s="42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</row>
    <row r="228" spans="1:227" s="6" customFormat="1" ht="18.75" customHeight="1">
      <c r="A228" s="81" t="s">
        <v>39</v>
      </c>
      <c r="B228" s="83"/>
      <c r="C228" s="74">
        <v>2022</v>
      </c>
      <c r="D228" s="15">
        <f t="shared" ref="D228:D229" si="96">SUM(E228:I228)</f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42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</row>
    <row r="229" spans="1:227" s="6" customFormat="1">
      <c r="A229" s="84"/>
      <c r="B229" s="83"/>
      <c r="C229" s="74">
        <v>2023</v>
      </c>
      <c r="D229" s="15">
        <f t="shared" si="96"/>
        <v>1000</v>
      </c>
      <c r="E229" s="15">
        <v>0</v>
      </c>
      <c r="F229" s="15">
        <v>950</v>
      </c>
      <c r="G229" s="15">
        <v>0</v>
      </c>
      <c r="H229" s="15">
        <v>50</v>
      </c>
      <c r="I229" s="15">
        <v>0</v>
      </c>
      <c r="J229" s="42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</row>
    <row r="230" spans="1:227" s="6" customFormat="1">
      <c r="A230" s="82"/>
      <c r="B230" s="83"/>
      <c r="C230" s="74" t="s">
        <v>16</v>
      </c>
      <c r="D230" s="15">
        <f t="shared" ref="D230:I230" si="97">SUM(D228:D229)</f>
        <v>1000</v>
      </c>
      <c r="E230" s="15">
        <f t="shared" si="97"/>
        <v>0</v>
      </c>
      <c r="F230" s="15">
        <f t="shared" si="97"/>
        <v>950</v>
      </c>
      <c r="G230" s="15">
        <f t="shared" si="97"/>
        <v>0</v>
      </c>
      <c r="H230" s="15">
        <f t="shared" si="97"/>
        <v>50</v>
      </c>
      <c r="I230" s="15">
        <f t="shared" si="97"/>
        <v>0</v>
      </c>
      <c r="J230" s="42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</row>
    <row r="231" spans="1:227" s="6" customFormat="1" ht="18.75" customHeight="1">
      <c r="A231" s="81" t="s">
        <v>40</v>
      </c>
      <c r="B231" s="83"/>
      <c r="C231" s="74">
        <v>2022</v>
      </c>
      <c r="D231" s="15">
        <f t="shared" ref="D231:D232" si="98">SUM(E231:I231)</f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42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</row>
    <row r="232" spans="1:227" s="6" customFormat="1">
      <c r="A232" s="84"/>
      <c r="B232" s="83"/>
      <c r="C232" s="74">
        <v>2023</v>
      </c>
      <c r="D232" s="15">
        <f t="shared" si="98"/>
        <v>560</v>
      </c>
      <c r="E232" s="15">
        <v>0</v>
      </c>
      <c r="F232" s="15">
        <v>0</v>
      </c>
      <c r="G232" s="15">
        <v>509.6</v>
      </c>
      <c r="H232" s="15">
        <v>50.4</v>
      </c>
      <c r="I232" s="15">
        <v>0</v>
      </c>
      <c r="J232" s="42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</row>
    <row r="233" spans="1:227" s="6" customFormat="1" ht="30.75" customHeight="1">
      <c r="A233" s="82"/>
      <c r="B233" s="83"/>
      <c r="C233" s="74" t="s">
        <v>16</v>
      </c>
      <c r="D233" s="15">
        <f t="shared" ref="D233:I233" si="99">SUM(D231:D232)</f>
        <v>560</v>
      </c>
      <c r="E233" s="15">
        <f t="shared" si="99"/>
        <v>0</v>
      </c>
      <c r="F233" s="15">
        <f t="shared" si="99"/>
        <v>0</v>
      </c>
      <c r="G233" s="15">
        <f t="shared" si="99"/>
        <v>509.6</v>
      </c>
      <c r="H233" s="15">
        <f t="shared" si="99"/>
        <v>50.4</v>
      </c>
      <c r="I233" s="15">
        <f t="shared" si="99"/>
        <v>0</v>
      </c>
      <c r="J233" s="42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</row>
    <row r="234" spans="1:227" s="6" customFormat="1">
      <c r="A234" s="81" t="s">
        <v>41</v>
      </c>
      <c r="B234" s="83"/>
      <c r="C234" s="74">
        <v>2022</v>
      </c>
      <c r="D234" s="15">
        <f t="shared" ref="D234:D237" si="100">SUM(E234:I234)</f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42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</row>
    <row r="235" spans="1:227" s="6" customFormat="1">
      <c r="A235" s="84"/>
      <c r="B235" s="83"/>
      <c r="C235" s="74">
        <v>2023</v>
      </c>
      <c r="D235" s="15">
        <f t="shared" si="100"/>
        <v>5870.7</v>
      </c>
      <c r="E235" s="15">
        <v>0</v>
      </c>
      <c r="F235" s="15">
        <v>0</v>
      </c>
      <c r="G235" s="15">
        <v>5342.3</v>
      </c>
      <c r="H235" s="15">
        <v>528.4</v>
      </c>
      <c r="I235" s="15">
        <v>0</v>
      </c>
      <c r="J235" s="42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</row>
    <row r="236" spans="1:227" s="6" customFormat="1">
      <c r="A236" s="84"/>
      <c r="B236" s="83"/>
      <c r="C236" s="74">
        <v>2024</v>
      </c>
      <c r="D236" s="15">
        <f t="shared" si="100"/>
        <v>73222.7</v>
      </c>
      <c r="E236" s="15">
        <v>0</v>
      </c>
      <c r="F236" s="15">
        <v>0</v>
      </c>
      <c r="G236" s="15">
        <v>67364.899999999994</v>
      </c>
      <c r="H236" s="15">
        <v>5857.8</v>
      </c>
      <c r="I236" s="15">
        <v>0</v>
      </c>
      <c r="J236" s="42"/>
      <c r="K236" s="53"/>
      <c r="L236" s="53"/>
      <c r="M236" s="53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</row>
    <row r="237" spans="1:227" s="6" customFormat="1">
      <c r="A237" s="84"/>
      <c r="B237" s="83"/>
      <c r="C237" s="74">
        <v>2025</v>
      </c>
      <c r="D237" s="15">
        <f t="shared" si="100"/>
        <v>24642.000000000004</v>
      </c>
      <c r="E237" s="15">
        <v>0</v>
      </c>
      <c r="F237" s="15">
        <v>0</v>
      </c>
      <c r="G237" s="15">
        <f>41127.3-19912.3</f>
        <v>21215.000000000004</v>
      </c>
      <c r="H237" s="15">
        <f>3576.5-149.5</f>
        <v>3427</v>
      </c>
      <c r="I237" s="15">
        <v>0</v>
      </c>
      <c r="J237" s="42"/>
      <c r="K237" s="42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</row>
    <row r="238" spans="1:227" s="6" customFormat="1">
      <c r="A238" s="84"/>
      <c r="B238" s="83"/>
      <c r="C238" s="74">
        <v>2026</v>
      </c>
      <c r="D238" s="15">
        <f>SUM(E238:I238)</f>
        <v>21328</v>
      </c>
      <c r="E238" s="15">
        <v>0</v>
      </c>
      <c r="F238" s="15">
        <v>0</v>
      </c>
      <c r="G238" s="15">
        <v>19621.7</v>
      </c>
      <c r="H238" s="15">
        <v>1706.3</v>
      </c>
      <c r="I238" s="15">
        <v>0</v>
      </c>
      <c r="J238" s="42"/>
      <c r="K238" s="42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</row>
    <row r="239" spans="1:227" s="6" customFormat="1">
      <c r="A239" s="82"/>
      <c r="B239" s="83"/>
      <c r="C239" s="74" t="s">
        <v>16</v>
      </c>
      <c r="D239" s="15">
        <f>SUM(D234:D238)</f>
        <v>125063.4</v>
      </c>
      <c r="E239" s="15">
        <f t="shared" ref="E239:H239" si="101">SUM(E234:E238)</f>
        <v>0</v>
      </c>
      <c r="F239" s="15">
        <f t="shared" si="101"/>
        <v>0</v>
      </c>
      <c r="G239" s="15">
        <f t="shared" si="101"/>
        <v>113543.9</v>
      </c>
      <c r="H239" s="15">
        <f t="shared" si="101"/>
        <v>11519.5</v>
      </c>
      <c r="I239" s="15">
        <f>SUM(I234:I238)</f>
        <v>0</v>
      </c>
      <c r="J239" s="42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</row>
    <row r="240" spans="1:227" s="6" customFormat="1" ht="18.75" customHeight="1">
      <c r="A240" s="81" t="s">
        <v>42</v>
      </c>
      <c r="B240" s="83"/>
      <c r="C240" s="74">
        <v>2022</v>
      </c>
      <c r="D240" s="15">
        <f t="shared" ref="D240:D243" si="102">SUM(E240:I240)</f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42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</row>
    <row r="241" spans="1:227" s="6" customFormat="1">
      <c r="A241" s="84"/>
      <c r="B241" s="83"/>
      <c r="C241" s="74">
        <v>2023</v>
      </c>
      <c r="D241" s="15">
        <f t="shared" si="102"/>
        <v>6289</v>
      </c>
      <c r="E241" s="15">
        <v>0</v>
      </c>
      <c r="F241" s="15">
        <v>0</v>
      </c>
      <c r="G241" s="15">
        <v>6289</v>
      </c>
      <c r="H241" s="15">
        <v>0</v>
      </c>
      <c r="I241" s="15">
        <v>0</v>
      </c>
      <c r="J241" s="42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</row>
    <row r="242" spans="1:227" s="6" customFormat="1">
      <c r="A242" s="84"/>
      <c r="B242" s="83"/>
      <c r="C242" s="74">
        <v>2024</v>
      </c>
      <c r="D242" s="15">
        <f t="shared" si="102"/>
        <v>8888.7999999999993</v>
      </c>
      <c r="E242" s="15">
        <v>0</v>
      </c>
      <c r="F242" s="15">
        <v>0</v>
      </c>
      <c r="G242" s="15">
        <v>8888.7999999999993</v>
      </c>
      <c r="H242" s="15">
        <v>0</v>
      </c>
      <c r="I242" s="15">
        <v>0</v>
      </c>
      <c r="J242" s="42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</row>
    <row r="243" spans="1:227" s="6" customFormat="1" ht="18" customHeight="1">
      <c r="A243" s="84"/>
      <c r="B243" s="83"/>
      <c r="C243" s="74">
        <v>2025</v>
      </c>
      <c r="D243" s="15">
        <f t="shared" si="102"/>
        <v>5994.2999999999993</v>
      </c>
      <c r="E243" s="15">
        <v>0</v>
      </c>
      <c r="F243" s="15">
        <v>0</v>
      </c>
      <c r="G243" s="15">
        <f>5994.4-0.1</f>
        <v>5994.2999999999993</v>
      </c>
      <c r="H243" s="15">
        <v>0</v>
      </c>
      <c r="I243" s="15">
        <v>0</v>
      </c>
      <c r="J243" s="42"/>
      <c r="K243" s="42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</row>
    <row r="244" spans="1:227" s="6" customFormat="1">
      <c r="A244" s="82"/>
      <c r="B244" s="83"/>
      <c r="C244" s="74" t="s">
        <v>16</v>
      </c>
      <c r="D244" s="15">
        <f t="shared" ref="D244:I244" si="103">SUM(D240:D243)</f>
        <v>21172.1</v>
      </c>
      <c r="E244" s="15">
        <f t="shared" si="103"/>
        <v>0</v>
      </c>
      <c r="F244" s="15">
        <f t="shared" si="103"/>
        <v>0</v>
      </c>
      <c r="G244" s="15">
        <f t="shared" si="103"/>
        <v>21172.1</v>
      </c>
      <c r="H244" s="15">
        <f t="shared" si="103"/>
        <v>0</v>
      </c>
      <c r="I244" s="15">
        <f t="shared" si="103"/>
        <v>0</v>
      </c>
      <c r="J244" s="42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</row>
    <row r="245" spans="1:227" s="6" customFormat="1" ht="36" customHeight="1">
      <c r="A245" s="81" t="s">
        <v>83</v>
      </c>
      <c r="B245" s="83"/>
      <c r="C245" s="74">
        <v>2025</v>
      </c>
      <c r="D245" s="15">
        <f t="shared" ref="D245" si="104">SUM(E245:I245)</f>
        <v>0</v>
      </c>
      <c r="E245" s="15">
        <v>0</v>
      </c>
      <c r="F245" s="15">
        <v>0</v>
      </c>
      <c r="G245" s="15">
        <f>698.4-698.4</f>
        <v>0</v>
      </c>
      <c r="H245" s="15">
        <v>0</v>
      </c>
      <c r="I245" s="15">
        <v>0</v>
      </c>
      <c r="J245" s="42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</row>
    <row r="246" spans="1:227" s="65" customFormat="1" ht="36" customHeight="1">
      <c r="A246" s="84"/>
      <c r="B246" s="83"/>
      <c r="C246" s="74">
        <v>2026</v>
      </c>
      <c r="D246" s="15">
        <f>SUM(E246:I246)</f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42"/>
      <c r="K246" s="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</row>
    <row r="247" spans="1:227" ht="38.25" customHeight="1">
      <c r="A247" s="82"/>
      <c r="B247" s="83"/>
      <c r="C247" s="74" t="s">
        <v>16</v>
      </c>
      <c r="D247" s="15">
        <f t="shared" ref="D247:H247" si="105">SUM(D245:D246)</f>
        <v>0</v>
      </c>
      <c r="E247" s="15">
        <f t="shared" si="105"/>
        <v>0</v>
      </c>
      <c r="F247" s="15">
        <f t="shared" si="105"/>
        <v>0</v>
      </c>
      <c r="G247" s="15">
        <f t="shared" si="105"/>
        <v>0</v>
      </c>
      <c r="H247" s="15">
        <f t="shared" si="105"/>
        <v>0</v>
      </c>
      <c r="I247" s="15">
        <f>SUM(I245:I246)</f>
        <v>0</v>
      </c>
      <c r="J247" s="42"/>
    </row>
    <row r="248" spans="1:227" s="6" customFormat="1" ht="49.5" customHeight="1">
      <c r="A248" s="81" t="s">
        <v>87</v>
      </c>
      <c r="B248" s="83"/>
      <c r="C248" s="74">
        <v>2025</v>
      </c>
      <c r="D248" s="15">
        <f t="shared" ref="D248" si="106">SUM(E248:I248)</f>
        <v>2224.4</v>
      </c>
      <c r="E248" s="15">
        <v>0</v>
      </c>
      <c r="F248" s="15">
        <v>0</v>
      </c>
      <c r="G248" s="15">
        <f>698.4-698.4</f>
        <v>0</v>
      </c>
      <c r="H248" s="15">
        <v>2224.4</v>
      </c>
      <c r="I248" s="15">
        <v>0</v>
      </c>
      <c r="J248" s="42"/>
      <c r="K248" s="49"/>
      <c r="L248" s="49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</row>
    <row r="249" spans="1:227" ht="50.25" customHeight="1">
      <c r="A249" s="82"/>
      <c r="B249" s="83"/>
      <c r="C249" s="74" t="s">
        <v>16</v>
      </c>
      <c r="D249" s="15">
        <f t="shared" ref="D249:I249" si="107">SUM(D248:D248)</f>
        <v>2224.4</v>
      </c>
      <c r="E249" s="15">
        <f t="shared" si="107"/>
        <v>0</v>
      </c>
      <c r="F249" s="15">
        <f t="shared" si="107"/>
        <v>0</v>
      </c>
      <c r="G249" s="15">
        <f t="shared" si="107"/>
        <v>0</v>
      </c>
      <c r="H249" s="15">
        <f t="shared" si="107"/>
        <v>2224.4</v>
      </c>
      <c r="I249" s="15">
        <f t="shared" si="107"/>
        <v>0</v>
      </c>
      <c r="J249" s="42"/>
    </row>
    <row r="250" spans="1:227" s="6" customFormat="1">
      <c r="A250" s="97" t="s">
        <v>71</v>
      </c>
      <c r="B250" s="98"/>
      <c r="C250" s="98"/>
      <c r="D250" s="98"/>
      <c r="E250" s="98"/>
      <c r="F250" s="98"/>
      <c r="G250" s="98"/>
      <c r="H250" s="98"/>
      <c r="I250" s="99"/>
      <c r="J250" s="43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</row>
    <row r="251" spans="1:227" s="6" customFormat="1">
      <c r="A251" s="78" t="s">
        <v>16</v>
      </c>
      <c r="B251" s="100"/>
      <c r="C251" s="75">
        <v>2022</v>
      </c>
      <c r="D251" s="16">
        <f t="shared" ref="D251:I252" si="108">D259+D267</f>
        <v>9887.1</v>
      </c>
      <c r="E251" s="16">
        <f t="shared" si="108"/>
        <v>0</v>
      </c>
      <c r="F251" s="16">
        <f t="shared" si="108"/>
        <v>0</v>
      </c>
      <c r="G251" s="16">
        <f t="shared" si="108"/>
        <v>0</v>
      </c>
      <c r="H251" s="16">
        <f t="shared" si="108"/>
        <v>9887.1</v>
      </c>
      <c r="I251" s="16">
        <f t="shared" si="108"/>
        <v>0</v>
      </c>
      <c r="J251" s="40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</row>
    <row r="252" spans="1:227" s="6" customFormat="1">
      <c r="A252" s="88"/>
      <c r="B252" s="101"/>
      <c r="C252" s="75">
        <v>2023</v>
      </c>
      <c r="D252" s="16">
        <f t="shared" si="108"/>
        <v>9388.4</v>
      </c>
      <c r="E252" s="16">
        <f t="shared" si="108"/>
        <v>0</v>
      </c>
      <c r="F252" s="16">
        <f t="shared" si="108"/>
        <v>0</v>
      </c>
      <c r="G252" s="16">
        <f t="shared" si="108"/>
        <v>628.5</v>
      </c>
      <c r="H252" s="16">
        <f t="shared" si="108"/>
        <v>8759.9</v>
      </c>
      <c r="I252" s="16">
        <f t="shared" si="108"/>
        <v>0</v>
      </c>
      <c r="J252" s="40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</row>
    <row r="253" spans="1:227" s="6" customFormat="1">
      <c r="A253" s="88"/>
      <c r="B253" s="101"/>
      <c r="C253" s="75">
        <v>2024</v>
      </c>
      <c r="D253" s="16">
        <f>SUM(E253:I253)</f>
        <v>6247.3</v>
      </c>
      <c r="E253" s="16">
        <f t="shared" ref="E253:I253" si="109">E261</f>
        <v>0</v>
      </c>
      <c r="F253" s="16">
        <f t="shared" si="109"/>
        <v>0</v>
      </c>
      <c r="G253" s="16">
        <f t="shared" si="109"/>
        <v>0</v>
      </c>
      <c r="H253" s="16">
        <f t="shared" si="109"/>
        <v>6247.3</v>
      </c>
      <c r="I253" s="16">
        <f t="shared" si="109"/>
        <v>0</v>
      </c>
      <c r="J253" s="40"/>
      <c r="L253" s="54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</row>
    <row r="254" spans="1:227" s="6" customFormat="1">
      <c r="A254" s="88"/>
      <c r="B254" s="101"/>
      <c r="C254" s="75">
        <v>2025</v>
      </c>
      <c r="D254" s="16">
        <f>SUM(E254:I254)</f>
        <v>9621.1999999999989</v>
      </c>
      <c r="E254" s="16">
        <f t="shared" ref="E254:I256" si="110">E262+E270</f>
        <v>0</v>
      </c>
      <c r="F254" s="16">
        <f t="shared" si="110"/>
        <v>0</v>
      </c>
      <c r="G254" s="16">
        <f t="shared" si="110"/>
        <v>0</v>
      </c>
      <c r="H254" s="16">
        <f t="shared" si="110"/>
        <v>9621.1999999999989</v>
      </c>
      <c r="I254" s="16">
        <f t="shared" si="110"/>
        <v>0</v>
      </c>
      <c r="J254" s="40"/>
      <c r="K254" s="40"/>
      <c r="L254" s="49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</row>
    <row r="255" spans="1:227" s="6" customFormat="1">
      <c r="A255" s="88"/>
      <c r="B255" s="101"/>
      <c r="C255" s="75">
        <v>2026</v>
      </c>
      <c r="D255" s="16">
        <f>SUM(E255:I255)</f>
        <v>13720.9</v>
      </c>
      <c r="E255" s="16">
        <f t="shared" si="110"/>
        <v>0</v>
      </c>
      <c r="F255" s="16">
        <f t="shared" si="110"/>
        <v>0</v>
      </c>
      <c r="G255" s="16">
        <f t="shared" si="110"/>
        <v>0</v>
      </c>
      <c r="H255" s="16">
        <f t="shared" si="110"/>
        <v>13720.9</v>
      </c>
      <c r="I255" s="16">
        <f t="shared" si="110"/>
        <v>0</v>
      </c>
      <c r="J255" s="40"/>
      <c r="K255" s="40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</row>
    <row r="256" spans="1:227" s="6" customFormat="1">
      <c r="A256" s="88"/>
      <c r="B256" s="101"/>
      <c r="C256" s="75">
        <v>2027</v>
      </c>
      <c r="D256" s="16">
        <f>SUM(E256:I256)</f>
        <v>12394.2</v>
      </c>
      <c r="E256" s="16">
        <f t="shared" si="110"/>
        <v>0</v>
      </c>
      <c r="F256" s="16">
        <f t="shared" si="110"/>
        <v>0</v>
      </c>
      <c r="G256" s="16">
        <f t="shared" si="110"/>
        <v>0</v>
      </c>
      <c r="H256" s="16">
        <f t="shared" si="110"/>
        <v>12394.2</v>
      </c>
      <c r="I256" s="16">
        <f t="shared" si="110"/>
        <v>0</v>
      </c>
      <c r="J256" s="40"/>
      <c r="K256" s="40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</row>
    <row r="257" spans="1:227" s="6" customFormat="1">
      <c r="A257" s="88"/>
      <c r="B257" s="101"/>
      <c r="C257" s="75">
        <v>2028</v>
      </c>
      <c r="D257" s="16">
        <f>SUM(E257:I257)</f>
        <v>24915.1</v>
      </c>
      <c r="E257" s="16">
        <f t="shared" ref="E257:H257" si="111">E265</f>
        <v>0</v>
      </c>
      <c r="F257" s="16">
        <f t="shared" si="111"/>
        <v>0</v>
      </c>
      <c r="G257" s="16">
        <f t="shared" si="111"/>
        <v>0</v>
      </c>
      <c r="H257" s="16">
        <f t="shared" si="111"/>
        <v>24915.1</v>
      </c>
      <c r="I257" s="16">
        <f>I265</f>
        <v>0</v>
      </c>
      <c r="J257" s="40"/>
      <c r="K257" s="40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</row>
    <row r="258" spans="1:227" s="6" customFormat="1">
      <c r="A258" s="79"/>
      <c r="B258" s="102"/>
      <c r="C258" s="75" t="s">
        <v>16</v>
      </c>
      <c r="D258" s="16">
        <f>SUM(D251:D257)</f>
        <v>86174.200000000012</v>
      </c>
      <c r="E258" s="16">
        <f t="shared" ref="E258:H258" si="112">SUM(E251:E257)</f>
        <v>0</v>
      </c>
      <c r="F258" s="16">
        <f t="shared" si="112"/>
        <v>0</v>
      </c>
      <c r="G258" s="16">
        <f t="shared" si="112"/>
        <v>628.5</v>
      </c>
      <c r="H258" s="16">
        <f t="shared" si="112"/>
        <v>85545.700000000012</v>
      </c>
      <c r="I258" s="16">
        <f>SUM(I251:I257)</f>
        <v>0</v>
      </c>
      <c r="J258" s="40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</row>
    <row r="259" spans="1:227" s="6" customFormat="1">
      <c r="A259" s="81" t="s">
        <v>43</v>
      </c>
      <c r="B259" s="83"/>
      <c r="C259" s="74">
        <v>2022</v>
      </c>
      <c r="D259" s="15">
        <f t="shared" ref="D259:D264" si="113">SUM(E259:I259)</f>
        <v>9887.1</v>
      </c>
      <c r="E259" s="15">
        <v>0</v>
      </c>
      <c r="F259" s="15">
        <v>0</v>
      </c>
      <c r="G259" s="15">
        <v>0</v>
      </c>
      <c r="H259" s="15">
        <v>9887.1</v>
      </c>
      <c r="I259" s="15">
        <v>0</v>
      </c>
      <c r="J259" s="42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</row>
    <row r="260" spans="1:227" s="6" customFormat="1">
      <c r="A260" s="84"/>
      <c r="B260" s="83"/>
      <c r="C260" s="74">
        <v>2023</v>
      </c>
      <c r="D260" s="15">
        <f t="shared" si="113"/>
        <v>8685.5</v>
      </c>
      <c r="E260" s="15">
        <v>0</v>
      </c>
      <c r="F260" s="15">
        <v>0</v>
      </c>
      <c r="G260" s="15">
        <v>0</v>
      </c>
      <c r="H260" s="15">
        <v>8685.5</v>
      </c>
      <c r="I260" s="15">
        <v>0</v>
      </c>
      <c r="J260" s="42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</row>
    <row r="261" spans="1:227" s="6" customFormat="1">
      <c r="A261" s="84"/>
      <c r="B261" s="83"/>
      <c r="C261" s="74">
        <v>2024</v>
      </c>
      <c r="D261" s="15">
        <f t="shared" si="113"/>
        <v>6247.3</v>
      </c>
      <c r="E261" s="15">
        <v>0</v>
      </c>
      <c r="F261" s="15">
        <v>0</v>
      </c>
      <c r="G261" s="15">
        <v>0</v>
      </c>
      <c r="H261" s="15">
        <v>6247.3</v>
      </c>
      <c r="I261" s="15">
        <v>0</v>
      </c>
      <c r="J261" s="42"/>
      <c r="K261" s="52"/>
      <c r="L261" s="54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</row>
    <row r="262" spans="1:227" s="6" customFormat="1">
      <c r="A262" s="84"/>
      <c r="B262" s="83"/>
      <c r="C262" s="74">
        <v>2025</v>
      </c>
      <c r="D262" s="15">
        <f t="shared" si="113"/>
        <v>9578.7999999999993</v>
      </c>
      <c r="E262" s="15">
        <v>0</v>
      </c>
      <c r="F262" s="15">
        <v>0</v>
      </c>
      <c r="G262" s="15">
        <v>0</v>
      </c>
      <c r="H262" s="15">
        <f>8958.8+611+9</f>
        <v>9578.7999999999993</v>
      </c>
      <c r="I262" s="15">
        <v>0</v>
      </c>
      <c r="J262" s="42"/>
      <c r="K262" s="42"/>
      <c r="L262" s="42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</row>
    <row r="263" spans="1:227" s="6" customFormat="1">
      <c r="A263" s="84"/>
      <c r="B263" s="83"/>
      <c r="C263" s="74">
        <v>2026</v>
      </c>
      <c r="D263" s="15">
        <f>SUM(E263:I263)</f>
        <v>13623.8</v>
      </c>
      <c r="E263" s="15">
        <v>0</v>
      </c>
      <c r="F263" s="15">
        <v>0</v>
      </c>
      <c r="G263" s="15">
        <v>0</v>
      </c>
      <c r="H263" s="15">
        <f>7223.8+6400</f>
        <v>13623.8</v>
      </c>
      <c r="I263" s="15">
        <v>0</v>
      </c>
      <c r="J263" s="73"/>
      <c r="K263" s="42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</row>
    <row r="264" spans="1:227" s="6" customFormat="1">
      <c r="A264" s="84"/>
      <c r="B264" s="83"/>
      <c r="C264" s="74">
        <v>2027</v>
      </c>
      <c r="D264" s="15">
        <f t="shared" si="113"/>
        <v>12297.1</v>
      </c>
      <c r="E264" s="15">
        <v>0</v>
      </c>
      <c r="F264" s="15">
        <v>0</v>
      </c>
      <c r="G264" s="15">
        <v>0</v>
      </c>
      <c r="H264" s="15">
        <v>12297.1</v>
      </c>
      <c r="I264" s="15">
        <v>0</v>
      </c>
      <c r="J264" s="42"/>
      <c r="K264" s="42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</row>
    <row r="265" spans="1:227" s="6" customFormat="1">
      <c r="A265" s="84"/>
      <c r="B265" s="83"/>
      <c r="C265" s="74">
        <v>2028</v>
      </c>
      <c r="D265" s="15">
        <f>SUM(E265:I265)</f>
        <v>24915.1</v>
      </c>
      <c r="E265" s="15">
        <v>0</v>
      </c>
      <c r="F265" s="15">
        <v>0</v>
      </c>
      <c r="G265" s="15">
        <v>0</v>
      </c>
      <c r="H265" s="15">
        <v>24915.1</v>
      </c>
      <c r="I265" s="15">
        <v>0</v>
      </c>
      <c r="J265" s="42"/>
      <c r="K265" s="42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</row>
    <row r="266" spans="1:227" s="6" customFormat="1">
      <c r="A266" s="82"/>
      <c r="B266" s="83"/>
      <c r="C266" s="74" t="s">
        <v>16</v>
      </c>
      <c r="D266" s="15">
        <f>SUM(D259:D265)</f>
        <v>85234.7</v>
      </c>
      <c r="E266" s="15">
        <f t="shared" ref="E266:H266" si="114">SUM(E259:E265)</f>
        <v>0</v>
      </c>
      <c r="F266" s="15">
        <f t="shared" si="114"/>
        <v>0</v>
      </c>
      <c r="G266" s="15">
        <f t="shared" si="114"/>
        <v>0</v>
      </c>
      <c r="H266" s="15">
        <f t="shared" si="114"/>
        <v>85234.7</v>
      </c>
      <c r="I266" s="15">
        <f>SUM(I259:I265)</f>
        <v>0</v>
      </c>
      <c r="J266" s="42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</row>
    <row r="267" spans="1:227" s="6" customFormat="1">
      <c r="A267" s="81" t="s">
        <v>44</v>
      </c>
      <c r="B267" s="83"/>
      <c r="C267" s="74">
        <v>2022</v>
      </c>
      <c r="D267" s="15">
        <f>SUM(E267:I267)</f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42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</row>
    <row r="268" spans="1:227" s="6" customFormat="1">
      <c r="A268" s="84"/>
      <c r="B268" s="83"/>
      <c r="C268" s="74">
        <v>2023</v>
      </c>
      <c r="D268" s="15">
        <f>SUM(E268:I268)</f>
        <v>702.9</v>
      </c>
      <c r="E268" s="15">
        <v>0</v>
      </c>
      <c r="F268" s="15">
        <v>0</v>
      </c>
      <c r="G268" s="15">
        <v>628.5</v>
      </c>
      <c r="H268" s="15">
        <v>74.400000000000006</v>
      </c>
      <c r="I268" s="15">
        <v>0</v>
      </c>
      <c r="J268" s="42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</row>
    <row r="269" spans="1:227" s="6" customFormat="1">
      <c r="A269" s="82"/>
      <c r="B269" s="83"/>
      <c r="C269" s="74" t="s">
        <v>16</v>
      </c>
      <c r="D269" s="15">
        <f t="shared" ref="D269:H269" si="115">SUM(D267:D268)</f>
        <v>702.9</v>
      </c>
      <c r="E269" s="15">
        <f t="shared" si="115"/>
        <v>0</v>
      </c>
      <c r="F269" s="15">
        <f t="shared" si="115"/>
        <v>0</v>
      </c>
      <c r="G269" s="15">
        <f t="shared" si="115"/>
        <v>628.5</v>
      </c>
      <c r="H269" s="15">
        <f t="shared" si="115"/>
        <v>74.400000000000006</v>
      </c>
      <c r="I269" s="15">
        <f>SUM(I267:I268)</f>
        <v>0</v>
      </c>
      <c r="J269" s="42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</row>
    <row r="270" spans="1:227" s="6" customFormat="1">
      <c r="A270" s="81" t="s">
        <v>93</v>
      </c>
      <c r="B270" s="83"/>
      <c r="C270" s="74">
        <v>2025</v>
      </c>
      <c r="D270" s="15">
        <f>SUM(E270:I270)</f>
        <v>42.4</v>
      </c>
      <c r="E270" s="15">
        <v>0</v>
      </c>
      <c r="F270" s="15">
        <v>0</v>
      </c>
      <c r="G270" s="15">
        <v>0</v>
      </c>
      <c r="H270" s="15">
        <v>42.4</v>
      </c>
      <c r="I270" s="15">
        <v>0</v>
      </c>
      <c r="J270" s="42"/>
      <c r="K270" s="42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</row>
    <row r="271" spans="1:227" s="6" customFormat="1">
      <c r="A271" s="84"/>
      <c r="B271" s="83"/>
      <c r="C271" s="74">
        <v>2026</v>
      </c>
      <c r="D271" s="15">
        <f t="shared" ref="D271" si="116">SUM(E271:I271)</f>
        <v>97.1</v>
      </c>
      <c r="E271" s="15">
        <v>0</v>
      </c>
      <c r="F271" s="15">
        <v>0</v>
      </c>
      <c r="G271" s="15">
        <v>0</v>
      </c>
      <c r="H271" s="15">
        <v>97.1</v>
      </c>
      <c r="I271" s="15">
        <v>0</v>
      </c>
      <c r="J271" s="42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</row>
    <row r="272" spans="1:227" s="6" customFormat="1">
      <c r="A272" s="84"/>
      <c r="B272" s="83"/>
      <c r="C272" s="74">
        <v>2027</v>
      </c>
      <c r="D272" s="15">
        <f>SUM(E272:I272)</f>
        <v>97.1</v>
      </c>
      <c r="E272" s="15">
        <v>0</v>
      </c>
      <c r="F272" s="15">
        <v>0</v>
      </c>
      <c r="G272" s="15">
        <v>0</v>
      </c>
      <c r="H272" s="15">
        <v>97.1</v>
      </c>
      <c r="I272" s="15">
        <v>0</v>
      </c>
      <c r="J272" s="42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</row>
    <row r="273" spans="1:227" s="6" customFormat="1">
      <c r="A273" s="82"/>
      <c r="B273" s="83"/>
      <c r="C273" s="74" t="s">
        <v>16</v>
      </c>
      <c r="D273" s="15">
        <f t="shared" ref="D273:H273" si="117">SUM(D270:D272)</f>
        <v>236.6</v>
      </c>
      <c r="E273" s="15">
        <f t="shared" si="117"/>
        <v>0</v>
      </c>
      <c r="F273" s="15">
        <f t="shared" si="117"/>
        <v>0</v>
      </c>
      <c r="G273" s="15">
        <f t="shared" si="117"/>
        <v>0</v>
      </c>
      <c r="H273" s="15">
        <f t="shared" si="117"/>
        <v>236.6</v>
      </c>
      <c r="I273" s="15">
        <f>SUM(I270:I272)</f>
        <v>0</v>
      </c>
      <c r="J273" s="42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</row>
    <row r="274" spans="1:227" s="6" customFormat="1">
      <c r="A274" s="76" t="s">
        <v>72</v>
      </c>
      <c r="B274" s="17"/>
      <c r="C274" s="18"/>
      <c r="D274" s="19"/>
      <c r="E274" s="20"/>
      <c r="F274" s="20"/>
      <c r="G274" s="20"/>
      <c r="H274" s="20"/>
      <c r="I274" s="21"/>
      <c r="J274" s="42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</row>
    <row r="275" spans="1:227" s="6" customFormat="1">
      <c r="A275" s="85" t="s">
        <v>16</v>
      </c>
      <c r="B275" s="80"/>
      <c r="C275" s="75">
        <v>2022</v>
      </c>
      <c r="D275" s="23">
        <f t="shared" ref="D275:I281" si="118">D283</f>
        <v>175.5</v>
      </c>
      <c r="E275" s="23">
        <f t="shared" si="118"/>
        <v>0</v>
      </c>
      <c r="F275" s="23">
        <f t="shared" si="118"/>
        <v>0</v>
      </c>
      <c r="G275" s="23">
        <f t="shared" si="118"/>
        <v>0</v>
      </c>
      <c r="H275" s="23">
        <f t="shared" si="118"/>
        <v>175.5</v>
      </c>
      <c r="I275" s="23">
        <f t="shared" si="118"/>
        <v>0</v>
      </c>
      <c r="J275" s="40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</row>
    <row r="276" spans="1:227" s="6" customFormat="1">
      <c r="A276" s="85"/>
      <c r="B276" s="80"/>
      <c r="C276" s="75">
        <v>2023</v>
      </c>
      <c r="D276" s="23">
        <f t="shared" si="118"/>
        <v>167</v>
      </c>
      <c r="E276" s="23">
        <f t="shared" si="118"/>
        <v>0</v>
      </c>
      <c r="F276" s="23">
        <f t="shared" si="118"/>
        <v>0</v>
      </c>
      <c r="G276" s="23">
        <f t="shared" si="118"/>
        <v>0</v>
      </c>
      <c r="H276" s="23">
        <f t="shared" si="118"/>
        <v>167</v>
      </c>
      <c r="I276" s="23">
        <f t="shared" si="118"/>
        <v>0</v>
      </c>
      <c r="J276" s="40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</row>
    <row r="277" spans="1:227" s="6" customFormat="1">
      <c r="A277" s="85"/>
      <c r="B277" s="80"/>
      <c r="C277" s="75">
        <v>2024</v>
      </c>
      <c r="D277" s="23">
        <f t="shared" si="118"/>
        <v>227</v>
      </c>
      <c r="E277" s="23">
        <f t="shared" si="118"/>
        <v>0</v>
      </c>
      <c r="F277" s="23">
        <f t="shared" si="118"/>
        <v>0</v>
      </c>
      <c r="G277" s="23">
        <f t="shared" si="118"/>
        <v>0</v>
      </c>
      <c r="H277" s="23">
        <f t="shared" si="118"/>
        <v>227</v>
      </c>
      <c r="I277" s="23">
        <f t="shared" si="118"/>
        <v>0</v>
      </c>
      <c r="J277" s="40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</row>
    <row r="278" spans="1:227" s="6" customFormat="1">
      <c r="A278" s="85"/>
      <c r="B278" s="80"/>
      <c r="C278" s="75">
        <v>2025</v>
      </c>
      <c r="D278" s="23">
        <f t="shared" si="118"/>
        <v>221.6</v>
      </c>
      <c r="E278" s="23">
        <f t="shared" si="118"/>
        <v>0</v>
      </c>
      <c r="F278" s="23">
        <f t="shared" si="118"/>
        <v>0</v>
      </c>
      <c r="G278" s="23">
        <f t="shared" si="118"/>
        <v>0</v>
      </c>
      <c r="H278" s="23">
        <f t="shared" si="118"/>
        <v>221.6</v>
      </c>
      <c r="I278" s="23">
        <f t="shared" si="118"/>
        <v>0</v>
      </c>
      <c r="J278" s="40"/>
      <c r="K278" s="40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</row>
    <row r="279" spans="1:227" s="6" customFormat="1">
      <c r="A279" s="85"/>
      <c r="B279" s="80"/>
      <c r="C279" s="75">
        <v>2026</v>
      </c>
      <c r="D279" s="23">
        <f t="shared" si="118"/>
        <v>251.5</v>
      </c>
      <c r="E279" s="23">
        <f t="shared" si="118"/>
        <v>0</v>
      </c>
      <c r="F279" s="23">
        <f t="shared" si="118"/>
        <v>0</v>
      </c>
      <c r="G279" s="23">
        <f t="shared" si="118"/>
        <v>0</v>
      </c>
      <c r="H279" s="23">
        <f t="shared" si="118"/>
        <v>251.5</v>
      </c>
      <c r="I279" s="23">
        <f t="shared" si="118"/>
        <v>0</v>
      </c>
      <c r="J279" s="40"/>
      <c r="K279" s="40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</row>
    <row r="280" spans="1:227" s="6" customFormat="1">
      <c r="A280" s="85"/>
      <c r="B280" s="80"/>
      <c r="C280" s="75">
        <v>2027</v>
      </c>
      <c r="D280" s="23">
        <f t="shared" si="118"/>
        <v>251.5</v>
      </c>
      <c r="E280" s="23">
        <f t="shared" si="118"/>
        <v>0</v>
      </c>
      <c r="F280" s="23">
        <f t="shared" si="118"/>
        <v>0</v>
      </c>
      <c r="G280" s="23">
        <f t="shared" si="118"/>
        <v>0</v>
      </c>
      <c r="H280" s="23">
        <f>H288</f>
        <v>251.5</v>
      </c>
      <c r="I280" s="23">
        <f>I288</f>
        <v>0</v>
      </c>
      <c r="J280" s="40"/>
      <c r="K280" s="40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</row>
    <row r="281" spans="1:227" s="6" customFormat="1">
      <c r="A281" s="85"/>
      <c r="B281" s="80"/>
      <c r="C281" s="75">
        <v>2028</v>
      </c>
      <c r="D281" s="23">
        <f>SUM(E281:I281)</f>
        <v>251.5</v>
      </c>
      <c r="E281" s="23">
        <f t="shared" si="118"/>
        <v>0</v>
      </c>
      <c r="F281" s="23">
        <f t="shared" si="118"/>
        <v>0</v>
      </c>
      <c r="G281" s="23">
        <f t="shared" si="118"/>
        <v>0</v>
      </c>
      <c r="H281" s="23">
        <f t="shared" si="118"/>
        <v>251.5</v>
      </c>
      <c r="I281" s="23">
        <f>I289</f>
        <v>0</v>
      </c>
      <c r="J281" s="40"/>
      <c r="K281" s="40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</row>
    <row r="282" spans="1:227" s="6" customFormat="1">
      <c r="A282" s="85"/>
      <c r="B282" s="80"/>
      <c r="C282" s="75" t="s">
        <v>16</v>
      </c>
      <c r="D282" s="23">
        <f>SUM(D275:D281)</f>
        <v>1545.6</v>
      </c>
      <c r="E282" s="23">
        <f>E290</f>
        <v>0</v>
      </c>
      <c r="F282" s="23">
        <f>F290</f>
        <v>0</v>
      </c>
      <c r="G282" s="23">
        <f>G290</f>
        <v>0</v>
      </c>
      <c r="H282" s="23">
        <f>H290</f>
        <v>1545.6</v>
      </c>
      <c r="I282" s="23">
        <f>I290</f>
        <v>0</v>
      </c>
      <c r="J282" s="40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</row>
    <row r="283" spans="1:227" s="6" customFormat="1">
      <c r="A283" s="81" t="s">
        <v>45</v>
      </c>
      <c r="B283" s="83"/>
      <c r="C283" s="74">
        <v>2022</v>
      </c>
      <c r="D283" s="22">
        <f t="shared" ref="D283:D288" si="119">SUM(E283:I283)</f>
        <v>175.5</v>
      </c>
      <c r="E283" s="15">
        <v>0</v>
      </c>
      <c r="F283" s="15">
        <v>0</v>
      </c>
      <c r="G283" s="15">
        <v>0</v>
      </c>
      <c r="H283" s="15">
        <v>175.5</v>
      </c>
      <c r="I283" s="15">
        <v>0</v>
      </c>
      <c r="J283" s="42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</row>
    <row r="284" spans="1:227" s="6" customFormat="1">
      <c r="A284" s="84"/>
      <c r="B284" s="83"/>
      <c r="C284" s="74">
        <v>2023</v>
      </c>
      <c r="D284" s="22">
        <f t="shared" si="119"/>
        <v>167</v>
      </c>
      <c r="E284" s="15">
        <v>0</v>
      </c>
      <c r="F284" s="15">
        <v>0</v>
      </c>
      <c r="G284" s="15">
        <v>0</v>
      </c>
      <c r="H284" s="15">
        <v>167</v>
      </c>
      <c r="I284" s="15">
        <v>0</v>
      </c>
      <c r="J284" s="42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</row>
    <row r="285" spans="1:227" s="6" customFormat="1">
      <c r="A285" s="84"/>
      <c r="B285" s="83"/>
      <c r="C285" s="74">
        <v>2024</v>
      </c>
      <c r="D285" s="22">
        <f t="shared" si="119"/>
        <v>227</v>
      </c>
      <c r="E285" s="15">
        <v>0</v>
      </c>
      <c r="F285" s="15">
        <v>0</v>
      </c>
      <c r="G285" s="15">
        <v>0</v>
      </c>
      <c r="H285" s="15">
        <v>227</v>
      </c>
      <c r="I285" s="15">
        <v>0</v>
      </c>
      <c r="J285" s="42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</row>
    <row r="286" spans="1:227" s="6" customFormat="1">
      <c r="A286" s="84"/>
      <c r="B286" s="83"/>
      <c r="C286" s="74">
        <v>2025</v>
      </c>
      <c r="D286" s="22">
        <f>SUM(E286:I286)</f>
        <v>221.6</v>
      </c>
      <c r="E286" s="15">
        <v>0</v>
      </c>
      <c r="F286" s="15">
        <v>0</v>
      </c>
      <c r="G286" s="15">
        <v>0</v>
      </c>
      <c r="H286" s="15">
        <v>221.6</v>
      </c>
      <c r="I286" s="15">
        <v>0</v>
      </c>
      <c r="J286" s="42"/>
      <c r="K286" s="42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</row>
    <row r="287" spans="1:227" s="6" customFormat="1">
      <c r="A287" s="84"/>
      <c r="B287" s="83"/>
      <c r="C287" s="74">
        <v>2026</v>
      </c>
      <c r="D287" s="22">
        <f t="shared" si="119"/>
        <v>251.5</v>
      </c>
      <c r="E287" s="15">
        <v>0</v>
      </c>
      <c r="F287" s="15">
        <v>0</v>
      </c>
      <c r="G287" s="15">
        <v>0</v>
      </c>
      <c r="H287" s="15">
        <v>251.5</v>
      </c>
      <c r="I287" s="15">
        <v>0</v>
      </c>
      <c r="J287" s="42"/>
      <c r="K287" s="42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</row>
    <row r="288" spans="1:227" s="6" customFormat="1">
      <c r="A288" s="84"/>
      <c r="B288" s="83"/>
      <c r="C288" s="74">
        <v>2027</v>
      </c>
      <c r="D288" s="22">
        <f t="shared" si="119"/>
        <v>251.5</v>
      </c>
      <c r="E288" s="15">
        <v>0</v>
      </c>
      <c r="F288" s="15">
        <v>0</v>
      </c>
      <c r="G288" s="15">
        <v>0</v>
      </c>
      <c r="H288" s="15">
        <v>251.5</v>
      </c>
      <c r="I288" s="15">
        <v>0</v>
      </c>
      <c r="J288" s="42"/>
      <c r="K288" s="42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</row>
    <row r="289" spans="1:227" s="6" customFormat="1">
      <c r="A289" s="84"/>
      <c r="B289" s="83"/>
      <c r="C289" s="74">
        <v>2028</v>
      </c>
      <c r="D289" s="15">
        <f>SUM(E289:I289)</f>
        <v>251.5</v>
      </c>
      <c r="E289" s="15">
        <v>0</v>
      </c>
      <c r="F289" s="15">
        <v>0</v>
      </c>
      <c r="G289" s="15">
        <v>0</v>
      </c>
      <c r="H289" s="15">
        <v>251.5</v>
      </c>
      <c r="I289" s="15">
        <v>0</v>
      </c>
      <c r="J289" s="42"/>
      <c r="K289" s="42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</row>
    <row r="290" spans="1:227" s="6" customFormat="1">
      <c r="A290" s="82"/>
      <c r="B290" s="83"/>
      <c r="C290" s="74" t="s">
        <v>16</v>
      </c>
      <c r="D290" s="22">
        <f t="shared" ref="D290:H290" si="120">SUM(D283:D289)</f>
        <v>1545.6</v>
      </c>
      <c r="E290" s="22">
        <f t="shared" si="120"/>
        <v>0</v>
      </c>
      <c r="F290" s="22">
        <f t="shared" si="120"/>
        <v>0</v>
      </c>
      <c r="G290" s="22">
        <f t="shared" si="120"/>
        <v>0</v>
      </c>
      <c r="H290" s="22">
        <f t="shared" si="120"/>
        <v>1545.6</v>
      </c>
      <c r="I290" s="22">
        <f>SUM(I283:I289)</f>
        <v>0</v>
      </c>
      <c r="J290" s="42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</row>
    <row r="291" spans="1:227" s="6" customFormat="1">
      <c r="A291" s="76" t="s">
        <v>73</v>
      </c>
      <c r="B291" s="17"/>
      <c r="C291" s="18"/>
      <c r="D291" s="19"/>
      <c r="E291" s="20"/>
      <c r="F291" s="20"/>
      <c r="G291" s="20"/>
      <c r="H291" s="20"/>
      <c r="I291" s="21"/>
      <c r="J291" s="42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</row>
    <row r="292" spans="1:227" s="6" customFormat="1">
      <c r="A292" s="78" t="s">
        <v>16</v>
      </c>
      <c r="B292" s="80"/>
      <c r="C292" s="75">
        <v>2022</v>
      </c>
      <c r="D292" s="16">
        <f t="shared" ref="D292:I293" si="121">D298+D304+D307</f>
        <v>3669</v>
      </c>
      <c r="E292" s="16">
        <f t="shared" si="121"/>
        <v>132.1</v>
      </c>
      <c r="F292" s="16">
        <f t="shared" si="121"/>
        <v>1081.3</v>
      </c>
      <c r="G292" s="16">
        <f t="shared" si="121"/>
        <v>0</v>
      </c>
      <c r="H292" s="16">
        <f t="shared" si="121"/>
        <v>2455.6000000000004</v>
      </c>
      <c r="I292" s="16">
        <f t="shared" si="121"/>
        <v>0</v>
      </c>
      <c r="J292" s="40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</row>
    <row r="293" spans="1:227" s="6" customFormat="1">
      <c r="A293" s="88"/>
      <c r="B293" s="80"/>
      <c r="C293" s="75">
        <v>2023</v>
      </c>
      <c r="D293" s="16">
        <f t="shared" si="121"/>
        <v>3785.8</v>
      </c>
      <c r="E293" s="16">
        <f t="shared" si="121"/>
        <v>204.2</v>
      </c>
      <c r="F293" s="16">
        <f t="shared" si="121"/>
        <v>1274.4000000000001</v>
      </c>
      <c r="G293" s="16">
        <f t="shared" si="121"/>
        <v>0</v>
      </c>
      <c r="H293" s="16">
        <f t="shared" si="121"/>
        <v>2307.1999999999998</v>
      </c>
      <c r="I293" s="16">
        <f t="shared" si="121"/>
        <v>0</v>
      </c>
      <c r="J293" s="40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</row>
    <row r="294" spans="1:227" s="6" customFormat="1">
      <c r="A294" s="88"/>
      <c r="B294" s="80"/>
      <c r="C294" s="75">
        <v>2024</v>
      </c>
      <c r="D294" s="16">
        <f t="shared" ref="D294:I294" si="122">D300+D309+D311</f>
        <v>12583.6</v>
      </c>
      <c r="E294" s="16">
        <f t="shared" si="122"/>
        <v>0</v>
      </c>
      <c r="F294" s="16">
        <f t="shared" si="122"/>
        <v>0</v>
      </c>
      <c r="G294" s="16">
        <f t="shared" si="122"/>
        <v>5578</v>
      </c>
      <c r="H294" s="16">
        <f t="shared" si="122"/>
        <v>7005.6</v>
      </c>
      <c r="I294" s="16">
        <f t="shared" si="122"/>
        <v>0</v>
      </c>
      <c r="J294" s="40"/>
      <c r="L294" s="56"/>
      <c r="M294" s="3"/>
      <c r="N294" s="56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</row>
    <row r="295" spans="1:227" s="6" customFormat="1">
      <c r="A295" s="88"/>
      <c r="B295" s="80"/>
      <c r="C295" s="75">
        <v>2025</v>
      </c>
      <c r="D295" s="16">
        <f>SUM(E295:I295)</f>
        <v>13623.599999999999</v>
      </c>
      <c r="E295" s="16">
        <f>E301+E313+E315+E317</f>
        <v>0</v>
      </c>
      <c r="F295" s="16">
        <f>F301+F313+F315+F317</f>
        <v>0</v>
      </c>
      <c r="G295" s="16">
        <f>G301+G313+G315+G317</f>
        <v>13074.599999999999</v>
      </c>
      <c r="H295" s="16">
        <f>H301+H313+H315+H317</f>
        <v>549</v>
      </c>
      <c r="I295" s="16">
        <f>I301+I313+I315+I317</f>
        <v>0</v>
      </c>
      <c r="J295" s="40"/>
      <c r="K295" s="40"/>
      <c r="L295" s="53"/>
      <c r="M295" s="53"/>
      <c r="N295" s="53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</row>
    <row r="296" spans="1:227" s="6" customFormat="1">
      <c r="A296" s="88"/>
      <c r="B296" s="80"/>
      <c r="C296" s="75">
        <v>2026</v>
      </c>
      <c r="D296" s="16">
        <f>SUM(E296:I296)</f>
        <v>786.59999999999991</v>
      </c>
      <c r="E296" s="16">
        <f t="shared" ref="E296:I296" si="123">E302</f>
        <v>0</v>
      </c>
      <c r="F296" s="16">
        <f t="shared" si="123"/>
        <v>0</v>
      </c>
      <c r="G296" s="16">
        <f t="shared" si="123"/>
        <v>0</v>
      </c>
      <c r="H296" s="16">
        <f>H302</f>
        <v>786.59999999999991</v>
      </c>
      <c r="I296" s="16">
        <f t="shared" si="123"/>
        <v>0</v>
      </c>
      <c r="J296" s="40"/>
      <c r="K296" s="40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</row>
    <row r="297" spans="1:227" s="6" customFormat="1">
      <c r="A297" s="79"/>
      <c r="B297" s="80"/>
      <c r="C297" s="75" t="s">
        <v>16</v>
      </c>
      <c r="D297" s="16">
        <f t="shared" ref="D297:I297" si="124">SUM(D292:D296)</f>
        <v>34448.6</v>
      </c>
      <c r="E297" s="16">
        <f t="shared" si="124"/>
        <v>336.29999999999995</v>
      </c>
      <c r="F297" s="16">
        <f t="shared" si="124"/>
        <v>2355.6999999999998</v>
      </c>
      <c r="G297" s="16">
        <f t="shared" si="124"/>
        <v>18652.599999999999</v>
      </c>
      <c r="H297" s="16">
        <f t="shared" si="124"/>
        <v>13104.000000000002</v>
      </c>
      <c r="I297" s="16">
        <f t="shared" si="124"/>
        <v>0</v>
      </c>
      <c r="J297" s="40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</row>
    <row r="298" spans="1:227" s="6" customFormat="1" ht="18.75" customHeight="1">
      <c r="A298" s="81" t="s">
        <v>46</v>
      </c>
      <c r="B298" s="83"/>
      <c r="C298" s="74">
        <v>2022</v>
      </c>
      <c r="D298" s="15">
        <f t="shared" ref="D298:D302" si="125">SUM(E298:I298)</f>
        <v>2364.3000000000002</v>
      </c>
      <c r="E298" s="15">
        <v>0</v>
      </c>
      <c r="F298" s="15">
        <v>0</v>
      </c>
      <c r="G298" s="15">
        <v>0</v>
      </c>
      <c r="H298" s="15">
        <v>2364.3000000000002</v>
      </c>
      <c r="I298" s="15">
        <v>0</v>
      </c>
      <c r="J298" s="42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</row>
    <row r="299" spans="1:227" s="6" customFormat="1">
      <c r="A299" s="84"/>
      <c r="B299" s="83"/>
      <c r="C299" s="74">
        <v>2023</v>
      </c>
      <c r="D299" s="15">
        <f t="shared" si="125"/>
        <v>630.70000000000005</v>
      </c>
      <c r="E299" s="15">
        <v>0</v>
      </c>
      <c r="F299" s="15">
        <v>0</v>
      </c>
      <c r="G299" s="15">
        <v>0</v>
      </c>
      <c r="H299" s="15">
        <v>630.70000000000005</v>
      </c>
      <c r="I299" s="15">
        <v>0</v>
      </c>
      <c r="J299" s="42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</row>
    <row r="300" spans="1:227" s="6" customFormat="1">
      <c r="A300" s="84"/>
      <c r="B300" s="83"/>
      <c r="C300" s="74">
        <v>2024</v>
      </c>
      <c r="D300" s="15">
        <f t="shared" si="125"/>
        <v>2865.6</v>
      </c>
      <c r="E300" s="15">
        <v>0</v>
      </c>
      <c r="F300" s="15">
        <v>0</v>
      </c>
      <c r="G300" s="15">
        <v>0</v>
      </c>
      <c r="H300" s="15">
        <v>2865.6</v>
      </c>
      <c r="I300" s="15">
        <v>0</v>
      </c>
      <c r="J300" s="42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</row>
    <row r="301" spans="1:227" s="6" customFormat="1">
      <c r="A301" s="84"/>
      <c r="B301" s="83"/>
      <c r="C301" s="74">
        <v>2025</v>
      </c>
      <c r="D301" s="15">
        <f t="shared" si="125"/>
        <v>397.9</v>
      </c>
      <c r="E301" s="15">
        <v>0</v>
      </c>
      <c r="F301" s="15">
        <v>0</v>
      </c>
      <c r="G301" s="15">
        <v>0</v>
      </c>
      <c r="H301" s="15">
        <f>628.4-17.3-52.7-160.5</f>
        <v>397.9</v>
      </c>
      <c r="I301" s="15">
        <v>0</v>
      </c>
      <c r="J301" s="42"/>
      <c r="K301" s="42"/>
      <c r="L301" s="51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</row>
    <row r="302" spans="1:227" s="6" customFormat="1">
      <c r="A302" s="84"/>
      <c r="B302" s="83"/>
      <c r="C302" s="74">
        <v>2026</v>
      </c>
      <c r="D302" s="15">
        <f t="shared" si="125"/>
        <v>786.59999999999991</v>
      </c>
      <c r="E302" s="15">
        <v>0</v>
      </c>
      <c r="F302" s="15">
        <v>0</v>
      </c>
      <c r="G302" s="15">
        <v>0</v>
      </c>
      <c r="H302" s="15">
        <f>1457.8-671.2</f>
        <v>786.59999999999991</v>
      </c>
      <c r="I302" s="15">
        <v>0</v>
      </c>
      <c r="J302" s="42"/>
      <c r="K302" s="42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</row>
    <row r="303" spans="1:227" s="6" customFormat="1">
      <c r="A303" s="82"/>
      <c r="B303" s="83"/>
      <c r="C303" s="74" t="s">
        <v>16</v>
      </c>
      <c r="D303" s="15">
        <f t="shared" ref="D303:I303" si="126">SUM(D298:D302)</f>
        <v>7045.1</v>
      </c>
      <c r="E303" s="15">
        <f t="shared" si="126"/>
        <v>0</v>
      </c>
      <c r="F303" s="15">
        <f t="shared" si="126"/>
        <v>0</v>
      </c>
      <c r="G303" s="15">
        <f t="shared" si="126"/>
        <v>0</v>
      </c>
      <c r="H303" s="15">
        <f t="shared" si="126"/>
        <v>7045.1</v>
      </c>
      <c r="I303" s="15">
        <f t="shared" si="126"/>
        <v>0</v>
      </c>
      <c r="J303" s="42"/>
      <c r="K303" s="53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</row>
    <row r="304" spans="1:227" s="6" customFormat="1">
      <c r="A304" s="81" t="s">
        <v>66</v>
      </c>
      <c r="B304" s="83"/>
      <c r="C304" s="74">
        <v>2022</v>
      </c>
      <c r="D304" s="15">
        <f>SUM(E304:I304)</f>
        <v>1304.6999999999998</v>
      </c>
      <c r="E304" s="15">
        <v>132.1</v>
      </c>
      <c r="F304" s="15">
        <v>1081.3</v>
      </c>
      <c r="G304" s="15">
        <v>0</v>
      </c>
      <c r="H304" s="15">
        <v>91.3</v>
      </c>
      <c r="I304" s="15">
        <v>0</v>
      </c>
      <c r="J304" s="42"/>
      <c r="K304" s="53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</row>
    <row r="305" spans="1:227" s="6" customFormat="1">
      <c r="A305" s="84"/>
      <c r="B305" s="83"/>
      <c r="C305" s="74">
        <v>2023</v>
      </c>
      <c r="D305" s="15">
        <f>SUM(E305:I305)</f>
        <v>3122.1000000000004</v>
      </c>
      <c r="E305" s="15">
        <v>204.2</v>
      </c>
      <c r="F305" s="15">
        <v>1274.4000000000001</v>
      </c>
      <c r="G305" s="15">
        <v>0</v>
      </c>
      <c r="H305" s="15">
        <v>1643.5</v>
      </c>
      <c r="I305" s="15">
        <v>0</v>
      </c>
      <c r="J305" s="42"/>
      <c r="K305" s="53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</row>
    <row r="306" spans="1:227" s="6" customFormat="1">
      <c r="A306" s="82"/>
      <c r="B306" s="83"/>
      <c r="C306" s="74" t="s">
        <v>16</v>
      </c>
      <c r="D306" s="15">
        <f>SUM(D304:D305)</f>
        <v>4426.8</v>
      </c>
      <c r="E306" s="15">
        <f t="shared" ref="E306:I306" si="127">SUM(E304:E305)</f>
        <v>336.29999999999995</v>
      </c>
      <c r="F306" s="15">
        <f t="shared" si="127"/>
        <v>2355.6999999999998</v>
      </c>
      <c r="G306" s="15">
        <f t="shared" si="127"/>
        <v>0</v>
      </c>
      <c r="H306" s="15">
        <f t="shared" si="127"/>
        <v>1734.8</v>
      </c>
      <c r="I306" s="15">
        <f t="shared" si="127"/>
        <v>0</v>
      </c>
      <c r="J306" s="42"/>
      <c r="K306" s="53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</row>
    <row r="307" spans="1:227" s="6" customFormat="1" ht="18.75" customHeight="1">
      <c r="A307" s="81" t="s">
        <v>47</v>
      </c>
      <c r="B307" s="83"/>
      <c r="C307" s="74">
        <v>2022</v>
      </c>
      <c r="D307" s="15">
        <f>SUM(E307:I307)</f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42"/>
      <c r="K307" s="53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</row>
    <row r="308" spans="1:227" s="6" customFormat="1">
      <c r="A308" s="84"/>
      <c r="B308" s="83"/>
      <c r="C308" s="74">
        <v>2023</v>
      </c>
      <c r="D308" s="15">
        <f>SUM(E308:I308)</f>
        <v>33</v>
      </c>
      <c r="E308" s="15">
        <v>0</v>
      </c>
      <c r="F308" s="15">
        <v>0</v>
      </c>
      <c r="G308" s="15">
        <v>0</v>
      </c>
      <c r="H308" s="15">
        <v>33</v>
      </c>
      <c r="I308" s="15">
        <v>0</v>
      </c>
      <c r="J308" s="42"/>
      <c r="K308" s="53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</row>
    <row r="309" spans="1:227" s="6" customFormat="1">
      <c r="A309" s="84"/>
      <c r="B309" s="83"/>
      <c r="C309" s="74">
        <v>2024</v>
      </c>
      <c r="D309" s="15">
        <f>SUM(E309:I309)</f>
        <v>5578</v>
      </c>
      <c r="E309" s="15">
        <v>0</v>
      </c>
      <c r="F309" s="15">
        <v>0</v>
      </c>
      <c r="G309" s="15">
        <v>5578</v>
      </c>
      <c r="H309" s="15">
        <v>0</v>
      </c>
      <c r="I309" s="15">
        <v>0</v>
      </c>
      <c r="J309" s="42"/>
      <c r="K309" s="53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</row>
    <row r="310" spans="1:227" s="6" customFormat="1">
      <c r="A310" s="82"/>
      <c r="B310" s="83"/>
      <c r="C310" s="74" t="s">
        <v>16</v>
      </c>
      <c r="D310" s="15">
        <f t="shared" ref="D310:I310" si="128">SUM(D307:D309)</f>
        <v>5611</v>
      </c>
      <c r="E310" s="15">
        <f t="shared" si="128"/>
        <v>0</v>
      </c>
      <c r="F310" s="15">
        <f t="shared" si="128"/>
        <v>0</v>
      </c>
      <c r="G310" s="15">
        <f t="shared" si="128"/>
        <v>5578</v>
      </c>
      <c r="H310" s="15">
        <f t="shared" si="128"/>
        <v>33</v>
      </c>
      <c r="I310" s="15">
        <f t="shared" si="128"/>
        <v>0</v>
      </c>
      <c r="J310" s="42"/>
      <c r="K310" s="53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</row>
    <row r="311" spans="1:227" s="6" customFormat="1" ht="18" customHeight="1">
      <c r="A311" s="81" t="s">
        <v>24</v>
      </c>
      <c r="B311" s="89"/>
      <c r="C311" s="74">
        <v>2024</v>
      </c>
      <c r="D311" s="15">
        <f>SUM(E311:I311)</f>
        <v>4140</v>
      </c>
      <c r="E311" s="15">
        <v>0</v>
      </c>
      <c r="F311" s="15">
        <v>0</v>
      </c>
      <c r="G311" s="15">
        <v>0</v>
      </c>
      <c r="H311" s="15">
        <v>4140</v>
      </c>
      <c r="I311" s="15">
        <v>0</v>
      </c>
      <c r="J311" s="42"/>
      <c r="K311" s="53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</row>
    <row r="312" spans="1:227" s="6" customFormat="1" ht="22.5" customHeight="1">
      <c r="A312" s="82"/>
      <c r="B312" s="87"/>
      <c r="C312" s="74" t="s">
        <v>16</v>
      </c>
      <c r="D312" s="15">
        <f t="shared" ref="D312:H312" si="129">SUM(D311:D311)</f>
        <v>4140</v>
      </c>
      <c r="E312" s="15">
        <f t="shared" si="129"/>
        <v>0</v>
      </c>
      <c r="F312" s="15">
        <f t="shared" si="129"/>
        <v>0</v>
      </c>
      <c r="G312" s="15">
        <f t="shared" si="129"/>
        <v>0</v>
      </c>
      <c r="H312" s="15">
        <f t="shared" si="129"/>
        <v>4140</v>
      </c>
      <c r="I312" s="15">
        <f>I311</f>
        <v>0</v>
      </c>
      <c r="J312" s="42"/>
      <c r="K312" s="53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</row>
    <row r="313" spans="1:227" s="6" customFormat="1" ht="21.75" customHeight="1">
      <c r="A313" s="90" t="s">
        <v>84</v>
      </c>
      <c r="B313" s="92"/>
      <c r="C313" s="74">
        <v>2025</v>
      </c>
      <c r="D313" s="15">
        <f t="shared" ref="D313" si="130">SUM(E313:I313)</f>
        <v>1362.4</v>
      </c>
      <c r="E313" s="15">
        <v>0</v>
      </c>
      <c r="F313" s="15">
        <v>0</v>
      </c>
      <c r="G313" s="15">
        <f>1765.2-553.9</f>
        <v>1211.3000000000002</v>
      </c>
      <c r="H313" s="15">
        <f>153.5-2.4</f>
        <v>151.1</v>
      </c>
      <c r="I313" s="15">
        <v>0</v>
      </c>
      <c r="J313" s="42"/>
      <c r="K313" s="42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</row>
    <row r="314" spans="1:227" s="6" customFormat="1" ht="27" customHeight="1">
      <c r="A314" s="91"/>
      <c r="B314" s="93"/>
      <c r="C314" s="74" t="s">
        <v>16</v>
      </c>
      <c r="D314" s="15">
        <f t="shared" ref="D314:H314" si="131">D313</f>
        <v>1362.4</v>
      </c>
      <c r="E314" s="15">
        <f t="shared" si="131"/>
        <v>0</v>
      </c>
      <c r="F314" s="15">
        <f t="shared" si="131"/>
        <v>0</v>
      </c>
      <c r="G314" s="15">
        <f t="shared" si="131"/>
        <v>1211.3000000000002</v>
      </c>
      <c r="H314" s="15">
        <f t="shared" si="131"/>
        <v>151.1</v>
      </c>
      <c r="I314" s="15">
        <f>I313</f>
        <v>0</v>
      </c>
      <c r="J314" s="42"/>
      <c r="K314" s="53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</row>
    <row r="315" spans="1:227" s="6" customFormat="1" ht="30.75" customHeight="1">
      <c r="A315" s="90" t="s">
        <v>83</v>
      </c>
      <c r="B315" s="92"/>
      <c r="C315" s="74">
        <v>2025</v>
      </c>
      <c r="D315" s="15">
        <f t="shared" ref="D315" si="132">SUM(E315:I315)</f>
        <v>0</v>
      </c>
      <c r="E315" s="15">
        <v>0</v>
      </c>
      <c r="F315" s="15">
        <v>0</v>
      </c>
      <c r="G315" s="15">
        <f>799.4-799.4</f>
        <v>0</v>
      </c>
      <c r="H315" s="15">
        <v>0</v>
      </c>
      <c r="I315" s="15">
        <v>0</v>
      </c>
      <c r="J315" s="42"/>
      <c r="K315" s="53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</row>
    <row r="316" spans="1:227" s="6" customFormat="1" ht="37.5" customHeight="1">
      <c r="A316" s="91"/>
      <c r="B316" s="93"/>
      <c r="C316" s="74" t="s">
        <v>16</v>
      </c>
      <c r="D316" s="15">
        <f t="shared" ref="D316:H316" si="133">D315</f>
        <v>0</v>
      </c>
      <c r="E316" s="15">
        <f t="shared" si="133"/>
        <v>0</v>
      </c>
      <c r="F316" s="15">
        <f t="shared" si="133"/>
        <v>0</v>
      </c>
      <c r="G316" s="15">
        <f t="shared" si="133"/>
        <v>0</v>
      </c>
      <c r="H316" s="15">
        <f t="shared" si="133"/>
        <v>0</v>
      </c>
      <c r="I316" s="15">
        <f>I315</f>
        <v>0</v>
      </c>
      <c r="J316" s="42"/>
      <c r="K316" s="53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</row>
    <row r="317" spans="1:227" s="6" customFormat="1" ht="24.75" customHeight="1">
      <c r="A317" s="90" t="s">
        <v>89</v>
      </c>
      <c r="B317" s="92"/>
      <c r="C317" s="74">
        <v>2025</v>
      </c>
      <c r="D317" s="15">
        <f t="shared" ref="D317" si="134">SUM(E317:I317)</f>
        <v>11863.3</v>
      </c>
      <c r="E317" s="15">
        <v>0</v>
      </c>
      <c r="F317" s="15">
        <v>0</v>
      </c>
      <c r="G317" s="15">
        <f>0+11863.3</f>
        <v>11863.3</v>
      </c>
      <c r="H317" s="15">
        <v>0</v>
      </c>
      <c r="I317" s="15">
        <v>0</v>
      </c>
      <c r="J317" s="49"/>
      <c r="K317" s="49"/>
      <c r="L317" s="51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</row>
    <row r="318" spans="1:227" s="6" customFormat="1" ht="25.5" customHeight="1">
      <c r="A318" s="91"/>
      <c r="B318" s="93"/>
      <c r="C318" s="74" t="s">
        <v>16</v>
      </c>
      <c r="D318" s="15">
        <f t="shared" ref="D318:I318" si="135">SUM(D317:D317)</f>
        <v>11863.3</v>
      </c>
      <c r="E318" s="15">
        <f t="shared" si="135"/>
        <v>0</v>
      </c>
      <c r="F318" s="15">
        <f t="shared" si="135"/>
        <v>0</v>
      </c>
      <c r="G318" s="15">
        <f t="shared" si="135"/>
        <v>11863.3</v>
      </c>
      <c r="H318" s="15">
        <f t="shared" si="135"/>
        <v>0</v>
      </c>
      <c r="I318" s="15">
        <f t="shared" si="135"/>
        <v>0</v>
      </c>
      <c r="J318" s="42"/>
      <c r="K318" s="53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</row>
    <row r="319" spans="1:227" s="6" customFormat="1" ht="28.5" customHeight="1">
      <c r="A319" s="94" t="s">
        <v>74</v>
      </c>
      <c r="B319" s="95"/>
      <c r="C319" s="95"/>
      <c r="D319" s="95"/>
      <c r="E319" s="95"/>
      <c r="F319" s="95"/>
      <c r="G319" s="95"/>
      <c r="H319" s="95"/>
      <c r="I319" s="96"/>
      <c r="J319" s="44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</row>
    <row r="320" spans="1:227" s="6" customFormat="1">
      <c r="A320" s="78" t="s">
        <v>16</v>
      </c>
      <c r="B320" s="80"/>
      <c r="C320" s="75">
        <v>2022</v>
      </c>
      <c r="D320" s="16">
        <f t="shared" ref="D320:I321" si="136">D325</f>
        <v>1761.2</v>
      </c>
      <c r="E320" s="16">
        <f t="shared" si="136"/>
        <v>0</v>
      </c>
      <c r="F320" s="16">
        <f t="shared" si="136"/>
        <v>0</v>
      </c>
      <c r="G320" s="16">
        <f t="shared" si="136"/>
        <v>0</v>
      </c>
      <c r="H320" s="16">
        <f t="shared" si="136"/>
        <v>1761.2</v>
      </c>
      <c r="I320" s="16">
        <f t="shared" si="136"/>
        <v>0</v>
      </c>
      <c r="J320" s="40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</row>
    <row r="321" spans="1:227" s="6" customFormat="1">
      <c r="A321" s="88"/>
      <c r="B321" s="80"/>
      <c r="C321" s="75">
        <v>2023</v>
      </c>
      <c r="D321" s="16">
        <f t="shared" si="136"/>
        <v>0</v>
      </c>
      <c r="E321" s="16">
        <f t="shared" si="136"/>
        <v>0</v>
      </c>
      <c r="F321" s="16">
        <f t="shared" si="136"/>
        <v>0</v>
      </c>
      <c r="G321" s="16">
        <f t="shared" si="136"/>
        <v>0</v>
      </c>
      <c r="H321" s="16">
        <f t="shared" si="136"/>
        <v>0</v>
      </c>
      <c r="I321" s="16">
        <f t="shared" si="136"/>
        <v>0</v>
      </c>
      <c r="J321" s="40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</row>
    <row r="322" spans="1:227" s="6" customFormat="1">
      <c r="A322" s="88"/>
      <c r="B322" s="80"/>
      <c r="C322" s="75">
        <v>2024</v>
      </c>
      <c r="D322" s="16">
        <f t="shared" ref="D322:I323" si="137">D327+D330</f>
        <v>0</v>
      </c>
      <c r="E322" s="16">
        <f t="shared" si="137"/>
        <v>0</v>
      </c>
      <c r="F322" s="16">
        <f t="shared" si="137"/>
        <v>0</v>
      </c>
      <c r="G322" s="16">
        <f t="shared" si="137"/>
        <v>0</v>
      </c>
      <c r="H322" s="16">
        <f t="shared" si="137"/>
        <v>0</v>
      </c>
      <c r="I322" s="16">
        <f t="shared" si="137"/>
        <v>0</v>
      </c>
      <c r="J322" s="40"/>
      <c r="L322" s="56"/>
      <c r="M322" s="3"/>
      <c r="N322" s="56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</row>
    <row r="323" spans="1:227" s="6" customFormat="1">
      <c r="A323" s="88"/>
      <c r="B323" s="80"/>
      <c r="C323" s="75">
        <v>2025</v>
      </c>
      <c r="D323" s="16">
        <f>SUM(E323:I323)</f>
        <v>9218.5</v>
      </c>
      <c r="E323" s="16">
        <f t="shared" si="137"/>
        <v>0</v>
      </c>
      <c r="F323" s="16">
        <f t="shared" si="137"/>
        <v>0</v>
      </c>
      <c r="G323" s="16">
        <f t="shared" si="137"/>
        <v>2300</v>
      </c>
      <c r="H323" s="16">
        <f t="shared" si="137"/>
        <v>6918.5</v>
      </c>
      <c r="I323" s="16">
        <f t="shared" si="137"/>
        <v>0</v>
      </c>
      <c r="J323" s="40"/>
      <c r="K323" s="40"/>
      <c r="L323" s="53"/>
      <c r="M323" s="53"/>
      <c r="N323" s="53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</row>
    <row r="324" spans="1:227" s="6" customFormat="1">
      <c r="A324" s="79"/>
      <c r="B324" s="80"/>
      <c r="C324" s="75" t="s">
        <v>16</v>
      </c>
      <c r="D324" s="16">
        <f t="shared" ref="D324:I324" si="138">SUM(D320:D323)</f>
        <v>10979.7</v>
      </c>
      <c r="E324" s="16">
        <f t="shared" si="138"/>
        <v>0</v>
      </c>
      <c r="F324" s="16">
        <f t="shared" si="138"/>
        <v>0</v>
      </c>
      <c r="G324" s="16">
        <f t="shared" si="138"/>
        <v>2300</v>
      </c>
      <c r="H324" s="16">
        <f t="shared" si="138"/>
        <v>8679.7000000000007</v>
      </c>
      <c r="I324" s="16">
        <f t="shared" si="138"/>
        <v>0</v>
      </c>
      <c r="J324" s="40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</row>
    <row r="325" spans="1:227" s="6" customFormat="1" ht="18.75" customHeight="1">
      <c r="A325" s="81" t="s">
        <v>55</v>
      </c>
      <c r="B325" s="83"/>
      <c r="C325" s="74">
        <v>2022</v>
      </c>
      <c r="D325" s="15">
        <f>SUM(E325:I325)</f>
        <v>1761.2</v>
      </c>
      <c r="E325" s="15">
        <v>0</v>
      </c>
      <c r="F325" s="15">
        <v>0</v>
      </c>
      <c r="G325" s="15">
        <v>0</v>
      </c>
      <c r="H325" s="15">
        <v>1761.2</v>
      </c>
      <c r="I325" s="15">
        <v>0</v>
      </c>
      <c r="J325" s="42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</row>
    <row r="326" spans="1:227" s="6" customFormat="1">
      <c r="A326" s="84"/>
      <c r="B326" s="83"/>
      <c r="C326" s="74">
        <v>2023</v>
      </c>
      <c r="D326" s="15">
        <f>SUM(E326:I326)</f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42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</row>
    <row r="327" spans="1:227" s="6" customFormat="1">
      <c r="A327" s="84"/>
      <c r="B327" s="83"/>
      <c r="C327" s="74">
        <v>2024</v>
      </c>
      <c r="D327" s="15">
        <f>SUM(E327:I327)</f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42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</row>
    <row r="328" spans="1:227" s="6" customFormat="1">
      <c r="A328" s="84"/>
      <c r="B328" s="83"/>
      <c r="C328" s="74">
        <v>2025</v>
      </c>
      <c r="D328" s="15">
        <f>SUM(E328:I328)</f>
        <v>2500</v>
      </c>
      <c r="E328" s="15">
        <v>0</v>
      </c>
      <c r="F328" s="15">
        <v>0</v>
      </c>
      <c r="G328" s="15">
        <v>2300</v>
      </c>
      <c r="H328" s="15">
        <v>200</v>
      </c>
      <c r="I328" s="15">
        <v>0</v>
      </c>
      <c r="J328" s="42"/>
      <c r="K328" s="42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</row>
    <row r="329" spans="1:227" s="6" customFormat="1">
      <c r="A329" s="82"/>
      <c r="B329" s="83"/>
      <c r="C329" s="74" t="s">
        <v>16</v>
      </c>
      <c r="D329" s="15">
        <f t="shared" ref="D329:I329" si="139">SUM(D325:D328)</f>
        <v>4261.2</v>
      </c>
      <c r="E329" s="15">
        <f t="shared" si="139"/>
        <v>0</v>
      </c>
      <c r="F329" s="15">
        <f t="shared" si="139"/>
        <v>0</v>
      </c>
      <c r="G329" s="15">
        <f t="shared" si="139"/>
        <v>2300</v>
      </c>
      <c r="H329" s="15">
        <f t="shared" si="139"/>
        <v>1961.2</v>
      </c>
      <c r="I329" s="15">
        <f t="shared" si="139"/>
        <v>0</v>
      </c>
      <c r="J329" s="42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</row>
    <row r="330" spans="1:227" s="6" customFormat="1" ht="18" customHeight="1">
      <c r="A330" s="81" t="s">
        <v>20</v>
      </c>
      <c r="B330" s="89"/>
      <c r="C330" s="74">
        <v>2024</v>
      </c>
      <c r="D330" s="15">
        <f>SUM(E330:I330)</f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42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</row>
    <row r="331" spans="1:227" s="6" customFormat="1" ht="18" customHeight="1">
      <c r="A331" s="84"/>
      <c r="B331" s="86"/>
      <c r="C331" s="74">
        <v>2025</v>
      </c>
      <c r="D331" s="15">
        <f>SUM(E331:I331)</f>
        <v>6718.5</v>
      </c>
      <c r="E331" s="15">
        <v>0</v>
      </c>
      <c r="F331" s="15">
        <v>0</v>
      </c>
      <c r="G331" s="15">
        <v>0</v>
      </c>
      <c r="H331" s="15">
        <f>6300+418.5</f>
        <v>6718.5</v>
      </c>
      <c r="I331" s="15">
        <v>0</v>
      </c>
      <c r="J331" s="42"/>
      <c r="K331" s="42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</row>
    <row r="332" spans="1:227" s="6" customFormat="1" ht="21" customHeight="1">
      <c r="A332" s="82"/>
      <c r="B332" s="87"/>
      <c r="C332" s="74" t="s">
        <v>16</v>
      </c>
      <c r="D332" s="15">
        <f t="shared" ref="D332:I332" si="140">SUM(D330:D331)</f>
        <v>6718.5</v>
      </c>
      <c r="E332" s="15">
        <f t="shared" si="140"/>
        <v>0</v>
      </c>
      <c r="F332" s="15">
        <f t="shared" si="140"/>
        <v>0</v>
      </c>
      <c r="G332" s="15">
        <f t="shared" si="140"/>
        <v>0</v>
      </c>
      <c r="H332" s="15">
        <f t="shared" si="140"/>
        <v>6718.5</v>
      </c>
      <c r="I332" s="15">
        <f t="shared" si="140"/>
        <v>0</v>
      </c>
      <c r="J332" s="42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</row>
    <row r="333" spans="1:227" s="6" customFormat="1">
      <c r="A333" s="76" t="s">
        <v>75</v>
      </c>
      <c r="B333" s="17"/>
      <c r="C333" s="18"/>
      <c r="D333" s="19"/>
      <c r="E333" s="20"/>
      <c r="F333" s="20"/>
      <c r="G333" s="20"/>
      <c r="H333" s="20"/>
      <c r="I333" s="21"/>
      <c r="J333" s="42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</row>
    <row r="334" spans="1:227" s="6" customFormat="1">
      <c r="A334" s="85" t="s">
        <v>16</v>
      </c>
      <c r="B334" s="80"/>
      <c r="C334" s="75">
        <v>2022</v>
      </c>
      <c r="D334" s="16">
        <f t="shared" ref="D334:I335" si="141">D342+D350</f>
        <v>9386.1</v>
      </c>
      <c r="E334" s="16">
        <f t="shared" si="141"/>
        <v>0</v>
      </c>
      <c r="F334" s="16">
        <f t="shared" si="141"/>
        <v>0</v>
      </c>
      <c r="G334" s="16">
        <f t="shared" si="141"/>
        <v>0</v>
      </c>
      <c r="H334" s="16">
        <f t="shared" si="141"/>
        <v>9386.1</v>
      </c>
      <c r="I334" s="16">
        <f t="shared" si="141"/>
        <v>0</v>
      </c>
      <c r="J334" s="40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</row>
    <row r="335" spans="1:227" s="6" customFormat="1">
      <c r="A335" s="85"/>
      <c r="B335" s="80"/>
      <c r="C335" s="75">
        <v>2023</v>
      </c>
      <c r="D335" s="16">
        <f t="shared" si="141"/>
        <v>8491.5</v>
      </c>
      <c r="E335" s="16">
        <f t="shared" si="141"/>
        <v>0</v>
      </c>
      <c r="F335" s="16">
        <f t="shared" si="141"/>
        <v>0</v>
      </c>
      <c r="G335" s="16">
        <f t="shared" si="141"/>
        <v>0</v>
      </c>
      <c r="H335" s="16">
        <f t="shared" si="141"/>
        <v>8491.5</v>
      </c>
      <c r="I335" s="16">
        <f t="shared" si="141"/>
        <v>0</v>
      </c>
      <c r="J335" s="40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</row>
    <row r="336" spans="1:227" s="6" customFormat="1">
      <c r="A336" s="85"/>
      <c r="B336" s="80"/>
      <c r="C336" s="75">
        <v>2024</v>
      </c>
      <c r="D336" s="16">
        <f t="shared" ref="D336:I336" si="142">D344+D352+D356+D358</f>
        <v>5620.1</v>
      </c>
      <c r="E336" s="16">
        <f t="shared" si="142"/>
        <v>0</v>
      </c>
      <c r="F336" s="16">
        <f t="shared" si="142"/>
        <v>0</v>
      </c>
      <c r="G336" s="16">
        <f t="shared" si="142"/>
        <v>0</v>
      </c>
      <c r="H336" s="16">
        <f t="shared" si="142"/>
        <v>5620.1</v>
      </c>
      <c r="I336" s="16">
        <f t="shared" si="142"/>
        <v>0</v>
      </c>
      <c r="J336" s="40"/>
      <c r="L336" s="56"/>
      <c r="M336" s="3"/>
      <c r="N336" s="56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</row>
    <row r="337" spans="1:227" s="6" customFormat="1" ht="21" customHeight="1">
      <c r="A337" s="85"/>
      <c r="B337" s="80"/>
      <c r="C337" s="75">
        <v>2025</v>
      </c>
      <c r="D337" s="16">
        <f>SUM(E337:I337)</f>
        <v>48982</v>
      </c>
      <c r="E337" s="16">
        <f t="shared" ref="E337:I337" si="143">E345+E353+E360+E363</f>
        <v>0</v>
      </c>
      <c r="F337" s="16">
        <f t="shared" si="143"/>
        <v>0</v>
      </c>
      <c r="G337" s="16">
        <f t="shared" si="143"/>
        <v>40071.5</v>
      </c>
      <c r="H337" s="16">
        <f t="shared" si="143"/>
        <v>8910.5</v>
      </c>
      <c r="I337" s="16">
        <f t="shared" si="143"/>
        <v>0</v>
      </c>
      <c r="J337" s="40"/>
      <c r="K337" s="40"/>
      <c r="L337" s="53"/>
      <c r="N337" s="53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</row>
    <row r="338" spans="1:227" s="6" customFormat="1">
      <c r="A338" s="85"/>
      <c r="B338" s="80"/>
      <c r="C338" s="75">
        <v>2026</v>
      </c>
      <c r="D338" s="16">
        <f>SUM(E338:I338)</f>
        <v>20611.800000000003</v>
      </c>
      <c r="E338" s="16">
        <f t="shared" ref="E338:I338" si="144">E346+E361</f>
        <v>0</v>
      </c>
      <c r="F338" s="16">
        <f t="shared" si="144"/>
        <v>0</v>
      </c>
      <c r="G338" s="16">
        <f t="shared" si="144"/>
        <v>6061.1</v>
      </c>
      <c r="H338" s="16">
        <f t="shared" si="144"/>
        <v>14550.7</v>
      </c>
      <c r="I338" s="16">
        <f t="shared" si="144"/>
        <v>0</v>
      </c>
      <c r="J338" s="40"/>
      <c r="K338" s="40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</row>
    <row r="339" spans="1:227" s="6" customFormat="1">
      <c r="A339" s="85"/>
      <c r="B339" s="80"/>
      <c r="C339" s="75">
        <v>2027</v>
      </c>
      <c r="D339" s="16">
        <f>SUM(E339:I339)</f>
        <v>8308</v>
      </c>
      <c r="E339" s="16">
        <f t="shared" ref="E339:H339" si="145">E347+E354</f>
        <v>0</v>
      </c>
      <c r="F339" s="16">
        <f t="shared" si="145"/>
        <v>0</v>
      </c>
      <c r="G339" s="16">
        <f t="shared" si="145"/>
        <v>0</v>
      </c>
      <c r="H339" s="16">
        <f t="shared" si="145"/>
        <v>8308</v>
      </c>
      <c r="I339" s="16">
        <f>I347+I354</f>
        <v>0</v>
      </c>
      <c r="J339" s="40"/>
      <c r="K339" s="40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</row>
    <row r="340" spans="1:227" s="6" customFormat="1">
      <c r="A340" s="85"/>
      <c r="B340" s="80"/>
      <c r="C340" s="75">
        <v>2028</v>
      </c>
      <c r="D340" s="16">
        <f t="shared" ref="D340:H340" si="146">D348</f>
        <v>5307.2</v>
      </c>
      <c r="E340" s="16">
        <f t="shared" si="146"/>
        <v>0</v>
      </c>
      <c r="F340" s="16">
        <f t="shared" si="146"/>
        <v>0</v>
      </c>
      <c r="G340" s="16">
        <f t="shared" si="146"/>
        <v>0</v>
      </c>
      <c r="H340" s="16">
        <f t="shared" si="146"/>
        <v>5307.2</v>
      </c>
      <c r="I340" s="16">
        <f>I348</f>
        <v>0</v>
      </c>
      <c r="J340" s="40"/>
      <c r="K340" s="40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</row>
    <row r="341" spans="1:227" s="6" customFormat="1">
      <c r="A341" s="85"/>
      <c r="B341" s="80"/>
      <c r="C341" s="75" t="s">
        <v>16</v>
      </c>
      <c r="D341" s="23">
        <f t="shared" ref="D341:H341" si="147">SUM(D334:D340)</f>
        <v>106706.7</v>
      </c>
      <c r="E341" s="23">
        <f t="shared" si="147"/>
        <v>0</v>
      </c>
      <c r="F341" s="23">
        <f t="shared" si="147"/>
        <v>0</v>
      </c>
      <c r="G341" s="23">
        <f t="shared" si="147"/>
        <v>46132.6</v>
      </c>
      <c r="H341" s="23">
        <f t="shared" si="147"/>
        <v>60574.099999999991</v>
      </c>
      <c r="I341" s="23">
        <f>SUM(I334:I340)</f>
        <v>0</v>
      </c>
      <c r="J341" s="40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</row>
    <row r="342" spans="1:227" s="6" customFormat="1" ht="18.75" customHeight="1">
      <c r="A342" s="81" t="s">
        <v>48</v>
      </c>
      <c r="B342" s="83"/>
      <c r="C342" s="74">
        <v>2022</v>
      </c>
      <c r="D342" s="22">
        <f t="shared" ref="D342:D347" si="148">SUM(E342:I342)</f>
        <v>8188.1</v>
      </c>
      <c r="E342" s="15">
        <v>0</v>
      </c>
      <c r="F342" s="15">
        <v>0</v>
      </c>
      <c r="G342" s="15">
        <v>0</v>
      </c>
      <c r="H342" s="15">
        <v>8188.1</v>
      </c>
      <c r="I342" s="15">
        <v>0</v>
      </c>
      <c r="J342" s="42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</row>
    <row r="343" spans="1:227" s="6" customFormat="1">
      <c r="A343" s="84"/>
      <c r="B343" s="83"/>
      <c r="C343" s="74">
        <v>2023</v>
      </c>
      <c r="D343" s="22">
        <f t="shared" si="148"/>
        <v>7833.4</v>
      </c>
      <c r="E343" s="15">
        <v>0</v>
      </c>
      <c r="F343" s="15">
        <v>0</v>
      </c>
      <c r="G343" s="15">
        <v>0</v>
      </c>
      <c r="H343" s="15">
        <v>7833.4</v>
      </c>
      <c r="I343" s="15">
        <v>0</v>
      </c>
      <c r="J343" s="42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</row>
    <row r="344" spans="1:227" s="6" customFormat="1">
      <c r="A344" s="84"/>
      <c r="B344" s="83"/>
      <c r="C344" s="74">
        <v>2024</v>
      </c>
      <c r="D344" s="22">
        <f t="shared" si="148"/>
        <v>5000</v>
      </c>
      <c r="E344" s="15">
        <v>0</v>
      </c>
      <c r="F344" s="15">
        <v>0</v>
      </c>
      <c r="G344" s="15">
        <v>0</v>
      </c>
      <c r="H344" s="15">
        <v>5000</v>
      </c>
      <c r="I344" s="15">
        <v>0</v>
      </c>
      <c r="J344" s="42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</row>
    <row r="345" spans="1:227" s="6" customFormat="1">
      <c r="A345" s="84"/>
      <c r="B345" s="83"/>
      <c r="C345" s="74">
        <v>2025</v>
      </c>
      <c r="D345" s="22">
        <f t="shared" si="148"/>
        <v>5307.2</v>
      </c>
      <c r="E345" s="15">
        <v>0</v>
      </c>
      <c r="F345" s="15">
        <v>0</v>
      </c>
      <c r="G345" s="15">
        <v>0</v>
      </c>
      <c r="H345" s="15">
        <f>4903+404.2</f>
        <v>5307.2</v>
      </c>
      <c r="I345" s="15">
        <v>0</v>
      </c>
      <c r="J345" s="42"/>
      <c r="K345" s="42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</row>
    <row r="346" spans="1:227" s="6" customFormat="1">
      <c r="A346" s="84"/>
      <c r="B346" s="83"/>
      <c r="C346" s="74">
        <v>2026</v>
      </c>
      <c r="D346" s="22">
        <f t="shared" si="148"/>
        <v>13951.2</v>
      </c>
      <c r="E346" s="15">
        <v>0</v>
      </c>
      <c r="F346" s="15">
        <v>0</v>
      </c>
      <c r="G346" s="15">
        <v>0</v>
      </c>
      <c r="H346" s="15">
        <v>13951.2</v>
      </c>
      <c r="I346" s="15">
        <v>0</v>
      </c>
      <c r="J346" s="42"/>
      <c r="K346" s="42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</row>
    <row r="347" spans="1:227" s="6" customFormat="1">
      <c r="A347" s="84"/>
      <c r="B347" s="83"/>
      <c r="C347" s="74">
        <v>2027</v>
      </c>
      <c r="D347" s="22">
        <f t="shared" si="148"/>
        <v>5307.2</v>
      </c>
      <c r="E347" s="15">
        <v>0</v>
      </c>
      <c r="F347" s="15">
        <v>0</v>
      </c>
      <c r="G347" s="15">
        <v>0</v>
      </c>
      <c r="H347" s="15">
        <v>5307.2</v>
      </c>
      <c r="I347" s="15">
        <v>0</v>
      </c>
      <c r="J347" s="42"/>
      <c r="K347" s="42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</row>
    <row r="348" spans="1:227" s="6" customFormat="1">
      <c r="A348" s="84"/>
      <c r="B348" s="83"/>
      <c r="C348" s="74">
        <v>2028</v>
      </c>
      <c r="D348" s="15">
        <f>SUM(E348:I348)</f>
        <v>5307.2</v>
      </c>
      <c r="E348" s="15">
        <v>0</v>
      </c>
      <c r="F348" s="15">
        <v>0</v>
      </c>
      <c r="G348" s="15">
        <v>0</v>
      </c>
      <c r="H348" s="15">
        <v>5307.2</v>
      </c>
      <c r="I348" s="15">
        <v>0</v>
      </c>
      <c r="J348" s="42"/>
      <c r="K348" s="42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</row>
    <row r="349" spans="1:227" s="6" customFormat="1">
      <c r="A349" s="82"/>
      <c r="B349" s="83"/>
      <c r="C349" s="74" t="s">
        <v>16</v>
      </c>
      <c r="D349" s="22">
        <f>SUM(D342:D348)</f>
        <v>50894.299999999996</v>
      </c>
      <c r="E349" s="22">
        <f t="shared" ref="E349:H349" si="149">SUM(E342:E348)</f>
        <v>0</v>
      </c>
      <c r="F349" s="22">
        <f t="shared" si="149"/>
        <v>0</v>
      </c>
      <c r="G349" s="22">
        <f t="shared" si="149"/>
        <v>0</v>
      </c>
      <c r="H349" s="22">
        <f t="shared" si="149"/>
        <v>50894.299999999996</v>
      </c>
      <c r="I349" s="22">
        <f>SUM(I342:I348)</f>
        <v>0</v>
      </c>
      <c r="J349" s="42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</row>
    <row r="350" spans="1:227" s="6" customFormat="1" ht="18.75" customHeight="1">
      <c r="A350" s="81" t="s">
        <v>85</v>
      </c>
      <c r="B350" s="83"/>
      <c r="C350" s="74">
        <v>2022</v>
      </c>
      <c r="D350" s="22">
        <f>SUM(E350:I350)</f>
        <v>1198</v>
      </c>
      <c r="E350" s="15">
        <v>0</v>
      </c>
      <c r="F350" s="15">
        <v>0</v>
      </c>
      <c r="G350" s="15">
        <v>0</v>
      </c>
      <c r="H350" s="15">
        <v>1198</v>
      </c>
      <c r="I350" s="15">
        <v>0</v>
      </c>
      <c r="J350" s="42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</row>
    <row r="351" spans="1:227" s="6" customFormat="1">
      <c r="A351" s="84"/>
      <c r="B351" s="83"/>
      <c r="C351" s="74">
        <v>2023</v>
      </c>
      <c r="D351" s="22">
        <f>SUM(E351:I351)</f>
        <v>658.1</v>
      </c>
      <c r="E351" s="15">
        <v>0</v>
      </c>
      <c r="F351" s="15">
        <v>0</v>
      </c>
      <c r="G351" s="15">
        <v>0</v>
      </c>
      <c r="H351" s="15">
        <v>658.1</v>
      </c>
      <c r="I351" s="15">
        <v>0</v>
      </c>
      <c r="J351" s="42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</row>
    <row r="352" spans="1:227" s="6" customFormat="1">
      <c r="A352" s="84"/>
      <c r="B352" s="83"/>
      <c r="C352" s="74">
        <v>2024</v>
      </c>
      <c r="D352" s="22">
        <f>SUM(E352:I352)</f>
        <v>420</v>
      </c>
      <c r="E352" s="15">
        <v>0</v>
      </c>
      <c r="F352" s="15">
        <v>0</v>
      </c>
      <c r="G352" s="15">
        <v>0</v>
      </c>
      <c r="H352" s="15">
        <v>420</v>
      </c>
      <c r="I352" s="15">
        <v>0</v>
      </c>
      <c r="J352" s="42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</row>
    <row r="353" spans="1:227" s="6" customFormat="1">
      <c r="A353" s="84"/>
      <c r="B353" s="83"/>
      <c r="C353" s="74">
        <v>2025</v>
      </c>
      <c r="D353" s="22">
        <f t="shared" ref="D353:D354" si="150">SUM(E353:I353)</f>
        <v>118.7</v>
      </c>
      <c r="E353" s="15">
        <v>0</v>
      </c>
      <c r="F353" s="15">
        <v>0</v>
      </c>
      <c r="G353" s="15">
        <v>0</v>
      </c>
      <c r="H353" s="15">
        <v>118.7</v>
      </c>
      <c r="I353" s="15">
        <v>0</v>
      </c>
      <c r="J353" s="42"/>
      <c r="K353" s="42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</row>
    <row r="354" spans="1:227" s="6" customFormat="1">
      <c r="A354" s="84"/>
      <c r="B354" s="83"/>
      <c r="C354" s="74">
        <v>2027</v>
      </c>
      <c r="D354" s="22">
        <f t="shared" si="150"/>
        <v>3000.8</v>
      </c>
      <c r="E354" s="15">
        <v>0</v>
      </c>
      <c r="F354" s="15">
        <v>0</v>
      </c>
      <c r="G354" s="15">
        <v>0</v>
      </c>
      <c r="H354" s="15">
        <v>3000.8</v>
      </c>
      <c r="I354" s="15">
        <v>0</v>
      </c>
      <c r="J354" s="42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</row>
    <row r="355" spans="1:227" s="6" customFormat="1">
      <c r="A355" s="82"/>
      <c r="B355" s="83"/>
      <c r="C355" s="74" t="s">
        <v>16</v>
      </c>
      <c r="D355" s="22">
        <f t="shared" ref="D355:I355" si="151">SUM(D350:D354)</f>
        <v>5395.6</v>
      </c>
      <c r="E355" s="22">
        <f t="shared" si="151"/>
        <v>0</v>
      </c>
      <c r="F355" s="22">
        <f t="shared" si="151"/>
        <v>0</v>
      </c>
      <c r="G355" s="22">
        <f t="shared" si="151"/>
        <v>0</v>
      </c>
      <c r="H355" s="22">
        <f t="shared" si="151"/>
        <v>5395.6</v>
      </c>
      <c r="I355" s="22">
        <f t="shared" si="151"/>
        <v>0</v>
      </c>
      <c r="J355" s="42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</row>
    <row r="356" spans="1:227" s="6" customFormat="1" ht="18" customHeight="1">
      <c r="A356" s="81" t="s">
        <v>52</v>
      </c>
      <c r="B356" s="89"/>
      <c r="C356" s="74">
        <v>2024</v>
      </c>
      <c r="D356" s="15">
        <f>SUM(E356:I356)</f>
        <v>121</v>
      </c>
      <c r="E356" s="15">
        <v>0</v>
      </c>
      <c r="F356" s="15">
        <v>0</v>
      </c>
      <c r="G356" s="15">
        <v>0</v>
      </c>
      <c r="H356" s="15">
        <v>121</v>
      </c>
      <c r="I356" s="15">
        <v>0</v>
      </c>
      <c r="J356" s="42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</row>
    <row r="357" spans="1:227" s="6" customFormat="1" ht="23.25" customHeight="1">
      <c r="A357" s="82"/>
      <c r="B357" s="87"/>
      <c r="C357" s="74" t="s">
        <v>16</v>
      </c>
      <c r="D357" s="15">
        <f t="shared" ref="D357:I357" si="152">SUM(D356:D356)</f>
        <v>121</v>
      </c>
      <c r="E357" s="15">
        <f t="shared" si="152"/>
        <v>0</v>
      </c>
      <c r="F357" s="15">
        <f t="shared" si="152"/>
        <v>0</v>
      </c>
      <c r="G357" s="15">
        <f t="shared" si="152"/>
        <v>0</v>
      </c>
      <c r="H357" s="15">
        <f t="shared" si="152"/>
        <v>121</v>
      </c>
      <c r="I357" s="15">
        <f t="shared" si="152"/>
        <v>0</v>
      </c>
      <c r="J357" s="42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</row>
    <row r="358" spans="1:227" s="6" customFormat="1" ht="18" customHeight="1">
      <c r="A358" s="81" t="s">
        <v>0</v>
      </c>
      <c r="B358" s="89"/>
      <c r="C358" s="74">
        <v>2024</v>
      </c>
      <c r="D358" s="15">
        <f>SUM(E358:I358)</f>
        <v>79.099999999999994</v>
      </c>
      <c r="E358" s="15">
        <v>0</v>
      </c>
      <c r="F358" s="15">
        <v>0</v>
      </c>
      <c r="G358" s="15">
        <v>0</v>
      </c>
      <c r="H358" s="15">
        <v>79.099999999999994</v>
      </c>
      <c r="I358" s="15">
        <v>0</v>
      </c>
      <c r="J358" s="42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</row>
    <row r="359" spans="1:227" s="6" customFormat="1" ht="35.25" customHeight="1">
      <c r="A359" s="82"/>
      <c r="B359" s="87"/>
      <c r="C359" s="74" t="s">
        <v>16</v>
      </c>
      <c r="D359" s="15">
        <f t="shared" ref="D359:I359" si="153">SUM(D358:D358)</f>
        <v>79.099999999999994</v>
      </c>
      <c r="E359" s="15">
        <f t="shared" si="153"/>
        <v>0</v>
      </c>
      <c r="F359" s="15">
        <f t="shared" si="153"/>
        <v>0</v>
      </c>
      <c r="G359" s="15">
        <f t="shared" si="153"/>
        <v>0</v>
      </c>
      <c r="H359" s="15">
        <f t="shared" si="153"/>
        <v>79.099999999999994</v>
      </c>
      <c r="I359" s="15">
        <f t="shared" si="153"/>
        <v>0</v>
      </c>
      <c r="J359" s="42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</row>
    <row r="360" spans="1:227" s="6" customFormat="1" ht="18" customHeight="1">
      <c r="A360" s="81" t="s">
        <v>41</v>
      </c>
      <c r="B360" s="86"/>
      <c r="C360" s="74">
        <v>2025</v>
      </c>
      <c r="D360" s="15">
        <f>SUM(E360:I360)</f>
        <v>41856.1</v>
      </c>
      <c r="E360" s="15">
        <v>0</v>
      </c>
      <c r="F360" s="15">
        <v>0</v>
      </c>
      <c r="G360" s="15">
        <v>38507.5</v>
      </c>
      <c r="H360" s="15">
        <f>3348.5+0.1</f>
        <v>3348.6</v>
      </c>
      <c r="I360" s="15">
        <v>0</v>
      </c>
      <c r="J360" s="42"/>
      <c r="N360" s="42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</row>
    <row r="361" spans="1:227" s="6" customFormat="1" ht="18" customHeight="1">
      <c r="A361" s="84"/>
      <c r="B361" s="86"/>
      <c r="C361" s="74">
        <v>2026</v>
      </c>
      <c r="D361" s="15">
        <f>SUM(E361:I361)</f>
        <v>6660.6</v>
      </c>
      <c r="E361" s="15">
        <v>0</v>
      </c>
      <c r="F361" s="15">
        <v>0</v>
      </c>
      <c r="G361" s="15">
        <v>6061.1</v>
      </c>
      <c r="H361" s="15">
        <v>599.5</v>
      </c>
      <c r="I361" s="15">
        <v>0</v>
      </c>
      <c r="J361" s="42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</row>
    <row r="362" spans="1:227" s="6" customFormat="1" ht="18" customHeight="1">
      <c r="A362" s="82"/>
      <c r="B362" s="87"/>
      <c r="C362" s="74" t="s">
        <v>16</v>
      </c>
      <c r="D362" s="15">
        <f t="shared" ref="D362:I362" si="154">SUM(D360:D361)</f>
        <v>48516.7</v>
      </c>
      <c r="E362" s="15">
        <f t="shared" si="154"/>
        <v>0</v>
      </c>
      <c r="F362" s="15">
        <f t="shared" si="154"/>
        <v>0</v>
      </c>
      <c r="G362" s="15">
        <f t="shared" si="154"/>
        <v>44568.6</v>
      </c>
      <c r="H362" s="15">
        <f t="shared" si="154"/>
        <v>3948.1</v>
      </c>
      <c r="I362" s="15">
        <f t="shared" si="154"/>
        <v>0</v>
      </c>
      <c r="J362" s="42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</row>
    <row r="363" spans="1:227" s="6" customFormat="1" ht="27.75" customHeight="1">
      <c r="A363" s="81" t="s">
        <v>84</v>
      </c>
      <c r="B363" s="86"/>
      <c r="C363" s="74">
        <v>2025</v>
      </c>
      <c r="D363" s="15">
        <f>SUM(E363:I363)</f>
        <v>1700</v>
      </c>
      <c r="E363" s="15">
        <v>0</v>
      </c>
      <c r="F363" s="15">
        <v>0</v>
      </c>
      <c r="G363" s="15">
        <f>3477.6-901.6-1012</f>
        <v>1564</v>
      </c>
      <c r="H363" s="15">
        <f>302.4-78.4-88</f>
        <v>135.99999999999997</v>
      </c>
      <c r="I363" s="15">
        <v>0</v>
      </c>
      <c r="J363" s="42"/>
      <c r="K363" s="42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</row>
    <row r="364" spans="1:227" s="6" customFormat="1" ht="30.75" customHeight="1">
      <c r="A364" s="82"/>
      <c r="B364" s="87"/>
      <c r="C364" s="74" t="s">
        <v>16</v>
      </c>
      <c r="D364" s="15">
        <f t="shared" ref="D364:I364" si="155">SUM(D363:D363)</f>
        <v>1700</v>
      </c>
      <c r="E364" s="15">
        <f t="shared" si="155"/>
        <v>0</v>
      </c>
      <c r="F364" s="15">
        <f t="shared" si="155"/>
        <v>0</v>
      </c>
      <c r="G364" s="15">
        <f t="shared" si="155"/>
        <v>1564</v>
      </c>
      <c r="H364" s="15">
        <f t="shared" si="155"/>
        <v>135.99999999999997</v>
      </c>
      <c r="I364" s="15">
        <f t="shared" si="155"/>
        <v>0</v>
      </c>
      <c r="J364" s="42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</row>
    <row r="365" spans="1:227" s="6" customFormat="1">
      <c r="A365" s="76" t="s">
        <v>76</v>
      </c>
      <c r="B365" s="17"/>
      <c r="C365" s="18"/>
      <c r="D365" s="19"/>
      <c r="E365" s="20"/>
      <c r="F365" s="20"/>
      <c r="G365" s="20"/>
      <c r="H365" s="20"/>
      <c r="I365" s="21"/>
      <c r="J365" s="42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</row>
    <row r="366" spans="1:227" s="6" customFormat="1">
      <c r="A366" s="78" t="s">
        <v>16</v>
      </c>
      <c r="B366" s="80"/>
      <c r="C366" s="75">
        <v>2022</v>
      </c>
      <c r="D366" s="16">
        <f>SUM(E366:I366)</f>
        <v>995.7</v>
      </c>
      <c r="E366" s="16">
        <f t="shared" ref="E366:I367" si="156">E370+E373+E377+E380</f>
        <v>0</v>
      </c>
      <c r="F366" s="16">
        <f t="shared" si="156"/>
        <v>0</v>
      </c>
      <c r="G366" s="16">
        <f t="shared" si="156"/>
        <v>995.7</v>
      </c>
      <c r="H366" s="16">
        <f t="shared" si="156"/>
        <v>0</v>
      </c>
      <c r="I366" s="16">
        <f t="shared" si="156"/>
        <v>0</v>
      </c>
      <c r="J366" s="40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</row>
    <row r="367" spans="1:227" s="6" customFormat="1">
      <c r="A367" s="88"/>
      <c r="B367" s="80"/>
      <c r="C367" s="75">
        <v>2023</v>
      </c>
      <c r="D367" s="16">
        <f t="shared" ref="D367:D368" si="157">SUM(E367:I367)</f>
        <v>1694.8</v>
      </c>
      <c r="E367" s="16">
        <f t="shared" si="156"/>
        <v>0</v>
      </c>
      <c r="F367" s="16">
        <f t="shared" si="156"/>
        <v>0</v>
      </c>
      <c r="G367" s="16">
        <f t="shared" si="156"/>
        <v>0</v>
      </c>
      <c r="H367" s="16">
        <f t="shared" si="156"/>
        <v>1694.8</v>
      </c>
      <c r="I367" s="16">
        <f t="shared" si="156"/>
        <v>0</v>
      </c>
      <c r="J367" s="40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</row>
    <row r="368" spans="1:227" s="6" customFormat="1">
      <c r="A368" s="88"/>
      <c r="B368" s="80"/>
      <c r="C368" s="75">
        <v>2025</v>
      </c>
      <c r="D368" s="16">
        <f t="shared" si="157"/>
        <v>830.7</v>
      </c>
      <c r="E368" s="16">
        <f t="shared" ref="E368:G368" si="158">E375</f>
        <v>0</v>
      </c>
      <c r="F368" s="16">
        <f t="shared" si="158"/>
        <v>0</v>
      </c>
      <c r="G368" s="16">
        <f t="shared" si="158"/>
        <v>0</v>
      </c>
      <c r="H368" s="16">
        <f>H375</f>
        <v>830.7</v>
      </c>
      <c r="I368" s="16">
        <f>I375</f>
        <v>0</v>
      </c>
      <c r="J368" s="40"/>
      <c r="K368" s="40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</row>
    <row r="369" spans="1:227" s="6" customFormat="1">
      <c r="A369" s="79"/>
      <c r="B369" s="80"/>
      <c r="C369" s="75" t="s">
        <v>16</v>
      </c>
      <c r="D369" s="16">
        <f t="shared" ref="D369:I369" si="159">SUM(D366:D368)</f>
        <v>3521.2</v>
      </c>
      <c r="E369" s="16">
        <f t="shared" si="159"/>
        <v>0</v>
      </c>
      <c r="F369" s="16">
        <f t="shared" si="159"/>
        <v>0</v>
      </c>
      <c r="G369" s="16">
        <f t="shared" si="159"/>
        <v>995.7</v>
      </c>
      <c r="H369" s="16">
        <f t="shared" si="159"/>
        <v>2525.5</v>
      </c>
      <c r="I369" s="16">
        <f t="shared" si="159"/>
        <v>0</v>
      </c>
      <c r="J369" s="40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</row>
    <row r="370" spans="1:227" s="6" customFormat="1">
      <c r="A370" s="81" t="s">
        <v>67</v>
      </c>
      <c r="B370" s="83"/>
      <c r="C370" s="74">
        <v>2022</v>
      </c>
      <c r="D370" s="15">
        <f>SUM(E370:I370)</f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42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</row>
    <row r="371" spans="1:227" s="6" customFormat="1">
      <c r="A371" s="84"/>
      <c r="B371" s="83"/>
      <c r="C371" s="74">
        <v>2023</v>
      </c>
      <c r="D371" s="15">
        <f>SUM(E371:I371)</f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42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</row>
    <row r="372" spans="1:227" s="6" customFormat="1">
      <c r="A372" s="82"/>
      <c r="B372" s="83"/>
      <c r="C372" s="74" t="s">
        <v>16</v>
      </c>
      <c r="D372" s="15">
        <f>SUM(D370:D371)</f>
        <v>0</v>
      </c>
      <c r="E372" s="15">
        <f t="shared" ref="E372:I372" si="160">SUM(E370:E371)</f>
        <v>0</v>
      </c>
      <c r="F372" s="15">
        <f t="shared" si="160"/>
        <v>0</v>
      </c>
      <c r="G372" s="15">
        <f t="shared" si="160"/>
        <v>0</v>
      </c>
      <c r="H372" s="15">
        <f t="shared" si="160"/>
        <v>0</v>
      </c>
      <c r="I372" s="15">
        <f t="shared" si="160"/>
        <v>0</v>
      </c>
      <c r="J372" s="42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</row>
    <row r="373" spans="1:227" s="6" customFormat="1" ht="18.75" customHeight="1">
      <c r="A373" s="81" t="s">
        <v>49</v>
      </c>
      <c r="B373" s="83"/>
      <c r="C373" s="74">
        <v>2022</v>
      </c>
      <c r="D373" s="15">
        <f>SUM(E373:I373)</f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42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</row>
    <row r="374" spans="1:227" s="6" customFormat="1">
      <c r="A374" s="84"/>
      <c r="B374" s="83"/>
      <c r="C374" s="74">
        <v>2023</v>
      </c>
      <c r="D374" s="15">
        <f>SUM(E374:I374)</f>
        <v>1694.8</v>
      </c>
      <c r="E374" s="15">
        <v>0</v>
      </c>
      <c r="F374" s="15">
        <v>0</v>
      </c>
      <c r="G374" s="15">
        <v>0</v>
      </c>
      <c r="H374" s="15">
        <f>967.3+727.5</f>
        <v>1694.8</v>
      </c>
      <c r="I374" s="15">
        <v>0</v>
      </c>
      <c r="J374" s="42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</row>
    <row r="375" spans="1:227" s="6" customFormat="1">
      <c r="A375" s="84"/>
      <c r="B375" s="83"/>
      <c r="C375" s="74">
        <v>2025</v>
      </c>
      <c r="D375" s="15">
        <f t="shared" ref="D375" si="161">SUM(E375:I375)</f>
        <v>830.7</v>
      </c>
      <c r="E375" s="15">
        <v>0</v>
      </c>
      <c r="F375" s="15">
        <v>0</v>
      </c>
      <c r="G375" s="15">
        <v>0</v>
      </c>
      <c r="H375" s="15">
        <f>572+258.7</f>
        <v>830.7</v>
      </c>
      <c r="I375" s="15">
        <v>0</v>
      </c>
      <c r="J375" s="42"/>
      <c r="K375" s="42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</row>
    <row r="376" spans="1:227" s="6" customFormat="1">
      <c r="A376" s="82"/>
      <c r="B376" s="83"/>
      <c r="C376" s="74" t="s">
        <v>16</v>
      </c>
      <c r="D376" s="15">
        <f t="shared" ref="D376:I376" si="162">SUM(D373:D375)</f>
        <v>2525.5</v>
      </c>
      <c r="E376" s="15">
        <f t="shared" si="162"/>
        <v>0</v>
      </c>
      <c r="F376" s="15">
        <f t="shared" si="162"/>
        <v>0</v>
      </c>
      <c r="G376" s="15">
        <f t="shared" si="162"/>
        <v>0</v>
      </c>
      <c r="H376" s="15">
        <f t="shared" si="162"/>
        <v>2525.5</v>
      </c>
      <c r="I376" s="15">
        <f t="shared" si="162"/>
        <v>0</v>
      </c>
      <c r="J376" s="42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</row>
    <row r="377" spans="1:227" s="6" customFormat="1">
      <c r="A377" s="81" t="s">
        <v>68</v>
      </c>
      <c r="B377" s="83"/>
      <c r="C377" s="74">
        <v>2022</v>
      </c>
      <c r="D377" s="15">
        <f>SUM(E377:I377)</f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42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</row>
    <row r="378" spans="1:227" s="6" customFormat="1">
      <c r="A378" s="84"/>
      <c r="B378" s="83"/>
      <c r="C378" s="74">
        <v>2023</v>
      </c>
      <c r="D378" s="15">
        <f>SUM(E378:I378)</f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42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</row>
    <row r="379" spans="1:227" s="6" customFormat="1">
      <c r="A379" s="82"/>
      <c r="B379" s="83"/>
      <c r="C379" s="74" t="s">
        <v>16</v>
      </c>
      <c r="D379" s="15">
        <f>SUM(D377:D378)</f>
        <v>0</v>
      </c>
      <c r="E379" s="15">
        <f t="shared" ref="E379:I379" si="163">SUM(E377:E378)</f>
        <v>0</v>
      </c>
      <c r="F379" s="15">
        <f t="shared" si="163"/>
        <v>0</v>
      </c>
      <c r="G379" s="15">
        <f t="shared" si="163"/>
        <v>0</v>
      </c>
      <c r="H379" s="15">
        <f t="shared" si="163"/>
        <v>0</v>
      </c>
      <c r="I379" s="15">
        <f t="shared" si="163"/>
        <v>0</v>
      </c>
      <c r="J379" s="42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</row>
    <row r="380" spans="1:227" s="6" customFormat="1" ht="18.75" customHeight="1">
      <c r="A380" s="81" t="s">
        <v>50</v>
      </c>
      <c r="B380" s="83"/>
      <c r="C380" s="74">
        <v>2022</v>
      </c>
      <c r="D380" s="15">
        <f>SUM(E380:I380)</f>
        <v>995.7</v>
      </c>
      <c r="E380" s="15">
        <v>0</v>
      </c>
      <c r="F380" s="15">
        <v>0</v>
      </c>
      <c r="G380" s="15">
        <v>995.7</v>
      </c>
      <c r="H380" s="15">
        <v>0</v>
      </c>
      <c r="I380" s="15">
        <v>0</v>
      </c>
      <c r="J380" s="42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</row>
    <row r="381" spans="1:227" s="6" customFormat="1">
      <c r="A381" s="84"/>
      <c r="B381" s="83"/>
      <c r="C381" s="74">
        <v>2023</v>
      </c>
      <c r="D381" s="15">
        <f>SUM(E381:I381)</f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42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</row>
    <row r="382" spans="1:227" s="6" customFormat="1" ht="21" customHeight="1">
      <c r="A382" s="82"/>
      <c r="B382" s="83"/>
      <c r="C382" s="74" t="s">
        <v>16</v>
      </c>
      <c r="D382" s="15">
        <f t="shared" ref="D382:I382" si="164">SUM(D380:D381)</f>
        <v>995.7</v>
      </c>
      <c r="E382" s="15">
        <f t="shared" si="164"/>
        <v>0</v>
      </c>
      <c r="F382" s="15">
        <f t="shared" si="164"/>
        <v>0</v>
      </c>
      <c r="G382" s="15">
        <f t="shared" si="164"/>
        <v>995.7</v>
      </c>
      <c r="H382" s="15">
        <f t="shared" si="164"/>
        <v>0</v>
      </c>
      <c r="I382" s="15">
        <f t="shared" si="164"/>
        <v>0</v>
      </c>
      <c r="J382" s="42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</row>
    <row r="383" spans="1:227" s="6" customFormat="1">
      <c r="A383" s="76" t="s">
        <v>77</v>
      </c>
      <c r="B383" s="17"/>
      <c r="C383" s="18"/>
      <c r="D383" s="19"/>
      <c r="E383" s="20"/>
      <c r="F383" s="20"/>
      <c r="G383" s="20"/>
      <c r="H383" s="20"/>
      <c r="I383" s="21"/>
      <c r="J383" s="42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</row>
    <row r="384" spans="1:227" s="6" customFormat="1">
      <c r="A384" s="85" t="s">
        <v>16</v>
      </c>
      <c r="B384" s="80"/>
      <c r="C384" s="75">
        <v>2022</v>
      </c>
      <c r="D384" s="16">
        <f t="shared" ref="D384:I390" si="165">D392</f>
        <v>41170.199999999997</v>
      </c>
      <c r="E384" s="16">
        <f t="shared" si="165"/>
        <v>0</v>
      </c>
      <c r="F384" s="16">
        <f t="shared" si="165"/>
        <v>0</v>
      </c>
      <c r="G384" s="16">
        <f t="shared" si="165"/>
        <v>0</v>
      </c>
      <c r="H384" s="16">
        <f t="shared" si="165"/>
        <v>41170.199999999997</v>
      </c>
      <c r="I384" s="16">
        <f t="shared" si="165"/>
        <v>0</v>
      </c>
      <c r="J384" s="40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</row>
    <row r="385" spans="1:227" s="6" customFormat="1">
      <c r="A385" s="85"/>
      <c r="B385" s="80"/>
      <c r="C385" s="75">
        <v>2023</v>
      </c>
      <c r="D385" s="16">
        <f t="shared" si="165"/>
        <v>43688.6</v>
      </c>
      <c r="E385" s="16">
        <f t="shared" si="165"/>
        <v>0</v>
      </c>
      <c r="F385" s="16">
        <f t="shared" si="165"/>
        <v>0</v>
      </c>
      <c r="G385" s="16">
        <f t="shared" si="165"/>
        <v>0</v>
      </c>
      <c r="H385" s="16">
        <f t="shared" si="165"/>
        <v>43688.6</v>
      </c>
      <c r="I385" s="16">
        <f t="shared" si="165"/>
        <v>0</v>
      </c>
      <c r="J385" s="40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</row>
    <row r="386" spans="1:227" s="6" customFormat="1">
      <c r="A386" s="85"/>
      <c r="B386" s="80"/>
      <c r="C386" s="75">
        <v>2024</v>
      </c>
      <c r="D386" s="16">
        <f t="shared" si="165"/>
        <v>49854.7</v>
      </c>
      <c r="E386" s="16">
        <f t="shared" si="165"/>
        <v>0</v>
      </c>
      <c r="F386" s="16">
        <f t="shared" si="165"/>
        <v>0</v>
      </c>
      <c r="G386" s="16">
        <f t="shared" si="165"/>
        <v>0</v>
      </c>
      <c r="H386" s="16">
        <f t="shared" si="165"/>
        <v>49854.7</v>
      </c>
      <c r="I386" s="16">
        <f t="shared" si="165"/>
        <v>0</v>
      </c>
      <c r="J386" s="40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</row>
    <row r="387" spans="1:227" s="6" customFormat="1">
      <c r="A387" s="85"/>
      <c r="B387" s="80"/>
      <c r="C387" s="75">
        <v>2025</v>
      </c>
      <c r="D387" s="16">
        <f t="shared" si="165"/>
        <v>61742.1</v>
      </c>
      <c r="E387" s="16">
        <f t="shared" si="165"/>
        <v>0</v>
      </c>
      <c r="F387" s="16">
        <f t="shared" si="165"/>
        <v>0</v>
      </c>
      <c r="G387" s="16">
        <f t="shared" si="165"/>
        <v>0</v>
      </c>
      <c r="H387" s="16">
        <f t="shared" si="165"/>
        <v>61742.1</v>
      </c>
      <c r="I387" s="16">
        <f t="shared" si="165"/>
        <v>0</v>
      </c>
      <c r="J387" s="40"/>
      <c r="K387" s="40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</row>
    <row r="388" spans="1:227" s="6" customFormat="1">
      <c r="A388" s="85"/>
      <c r="B388" s="80"/>
      <c r="C388" s="75">
        <v>2026</v>
      </c>
      <c r="D388" s="16">
        <f t="shared" si="165"/>
        <v>64889.4</v>
      </c>
      <c r="E388" s="16">
        <f t="shared" si="165"/>
        <v>0</v>
      </c>
      <c r="F388" s="16">
        <f t="shared" si="165"/>
        <v>0</v>
      </c>
      <c r="G388" s="16">
        <f t="shared" si="165"/>
        <v>0</v>
      </c>
      <c r="H388" s="16">
        <f t="shared" si="165"/>
        <v>64889.4</v>
      </c>
      <c r="I388" s="16">
        <f t="shared" si="165"/>
        <v>0</v>
      </c>
      <c r="J388" s="40"/>
      <c r="K388" s="40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</row>
    <row r="389" spans="1:227" s="6" customFormat="1">
      <c r="A389" s="85"/>
      <c r="B389" s="80"/>
      <c r="C389" s="75">
        <v>2027</v>
      </c>
      <c r="D389" s="16">
        <f t="shared" si="165"/>
        <v>63354.5</v>
      </c>
      <c r="E389" s="16">
        <f t="shared" si="165"/>
        <v>0</v>
      </c>
      <c r="F389" s="16">
        <f t="shared" si="165"/>
        <v>0</v>
      </c>
      <c r="G389" s="16">
        <f t="shared" si="165"/>
        <v>0</v>
      </c>
      <c r="H389" s="16">
        <f>H397</f>
        <v>63354.5</v>
      </c>
      <c r="I389" s="16">
        <f>I397</f>
        <v>0</v>
      </c>
      <c r="J389" s="40"/>
      <c r="K389" s="40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</row>
    <row r="390" spans="1:227" s="6" customFormat="1">
      <c r="A390" s="85"/>
      <c r="B390" s="80"/>
      <c r="C390" s="75">
        <v>2028</v>
      </c>
      <c r="D390" s="16">
        <f t="shared" si="165"/>
        <v>63359.5</v>
      </c>
      <c r="E390" s="16">
        <f t="shared" si="165"/>
        <v>0</v>
      </c>
      <c r="F390" s="16">
        <f t="shared" si="165"/>
        <v>0</v>
      </c>
      <c r="G390" s="16">
        <f t="shared" si="165"/>
        <v>0</v>
      </c>
      <c r="H390" s="16">
        <f t="shared" si="165"/>
        <v>63359.5</v>
      </c>
      <c r="I390" s="16">
        <f>I398</f>
        <v>0</v>
      </c>
      <c r="J390" s="40"/>
      <c r="K390" s="40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</row>
    <row r="391" spans="1:227" s="6" customFormat="1">
      <c r="A391" s="85"/>
      <c r="B391" s="80"/>
      <c r="C391" s="75" t="s">
        <v>16</v>
      </c>
      <c r="D391" s="16">
        <f t="shared" ref="D391:H391" si="166">SUM(D384:D390)</f>
        <v>388059</v>
      </c>
      <c r="E391" s="16">
        <f t="shared" si="166"/>
        <v>0</v>
      </c>
      <c r="F391" s="16">
        <f t="shared" si="166"/>
        <v>0</v>
      </c>
      <c r="G391" s="16">
        <f t="shared" si="166"/>
        <v>0</v>
      </c>
      <c r="H391" s="16">
        <f t="shared" si="166"/>
        <v>388059</v>
      </c>
      <c r="I391" s="16">
        <f>SUM(I384:I390)</f>
        <v>0</v>
      </c>
      <c r="J391" s="40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</row>
    <row r="392" spans="1:227" s="6" customFormat="1">
      <c r="A392" s="81" t="s">
        <v>51</v>
      </c>
      <c r="B392" s="83"/>
      <c r="C392" s="74">
        <v>2022</v>
      </c>
      <c r="D392" s="15">
        <f t="shared" ref="D392:D397" si="167">SUM(E392:I392)</f>
        <v>41170.199999999997</v>
      </c>
      <c r="E392" s="15">
        <v>0</v>
      </c>
      <c r="F392" s="15">
        <v>0</v>
      </c>
      <c r="G392" s="15">
        <v>0</v>
      </c>
      <c r="H392" s="15">
        <v>41170.199999999997</v>
      </c>
      <c r="I392" s="15">
        <v>0</v>
      </c>
      <c r="J392" s="42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</row>
    <row r="393" spans="1:227" s="6" customFormat="1">
      <c r="A393" s="84"/>
      <c r="B393" s="83"/>
      <c r="C393" s="74">
        <v>2023</v>
      </c>
      <c r="D393" s="15">
        <f t="shared" si="167"/>
        <v>43688.6</v>
      </c>
      <c r="E393" s="15">
        <v>0</v>
      </c>
      <c r="F393" s="15">
        <v>0</v>
      </c>
      <c r="G393" s="15">
        <v>0</v>
      </c>
      <c r="H393" s="15">
        <v>43688.6</v>
      </c>
      <c r="I393" s="15">
        <v>0</v>
      </c>
      <c r="J393" s="42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</row>
    <row r="394" spans="1:227" s="6" customFormat="1">
      <c r="A394" s="84"/>
      <c r="B394" s="83"/>
      <c r="C394" s="74">
        <v>2024</v>
      </c>
      <c r="D394" s="15">
        <f t="shared" si="167"/>
        <v>49854.7</v>
      </c>
      <c r="E394" s="15">
        <v>0</v>
      </c>
      <c r="F394" s="15">
        <v>0</v>
      </c>
      <c r="G394" s="15">
        <v>0</v>
      </c>
      <c r="H394" s="15">
        <v>49854.7</v>
      </c>
      <c r="I394" s="15">
        <v>0</v>
      </c>
      <c r="J394" s="42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</row>
    <row r="395" spans="1:227" s="6" customFormat="1">
      <c r="A395" s="84"/>
      <c r="B395" s="83"/>
      <c r="C395" s="74">
        <v>2025</v>
      </c>
      <c r="D395" s="15">
        <f t="shared" si="167"/>
        <v>61742.1</v>
      </c>
      <c r="E395" s="15">
        <v>0</v>
      </c>
      <c r="F395" s="15">
        <v>0</v>
      </c>
      <c r="G395" s="15">
        <v>0</v>
      </c>
      <c r="H395" s="15">
        <f>59914+1828.1</f>
        <v>61742.1</v>
      </c>
      <c r="I395" s="15">
        <v>0</v>
      </c>
      <c r="J395" s="42"/>
      <c r="K395" s="42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</row>
    <row r="396" spans="1:227" s="6" customFormat="1">
      <c r="A396" s="84"/>
      <c r="B396" s="83"/>
      <c r="C396" s="74">
        <v>2026</v>
      </c>
      <c r="D396" s="15">
        <f t="shared" si="167"/>
        <v>64889.4</v>
      </c>
      <c r="E396" s="15">
        <v>0</v>
      </c>
      <c r="F396" s="15">
        <v>0</v>
      </c>
      <c r="G396" s="15">
        <v>0</v>
      </c>
      <c r="H396" s="15">
        <v>64889.4</v>
      </c>
      <c r="I396" s="15">
        <v>0</v>
      </c>
      <c r="J396" s="42"/>
      <c r="K396" s="42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</row>
    <row r="397" spans="1:227" s="6" customFormat="1">
      <c r="A397" s="84"/>
      <c r="B397" s="83"/>
      <c r="C397" s="74">
        <v>2027</v>
      </c>
      <c r="D397" s="15">
        <f t="shared" si="167"/>
        <v>63354.5</v>
      </c>
      <c r="E397" s="15">
        <v>0</v>
      </c>
      <c r="F397" s="15">
        <v>0</v>
      </c>
      <c r="G397" s="15">
        <v>0</v>
      </c>
      <c r="H397" s="15">
        <v>63354.5</v>
      </c>
      <c r="I397" s="15">
        <v>0</v>
      </c>
      <c r="J397" s="42"/>
      <c r="K397" s="42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</row>
    <row r="398" spans="1:227" s="6" customFormat="1">
      <c r="A398" s="84"/>
      <c r="B398" s="83"/>
      <c r="C398" s="74">
        <v>2028</v>
      </c>
      <c r="D398" s="15">
        <f>SUM(E398:I398)</f>
        <v>63359.5</v>
      </c>
      <c r="E398" s="15">
        <v>0</v>
      </c>
      <c r="F398" s="15">
        <v>0</v>
      </c>
      <c r="G398" s="15">
        <v>0</v>
      </c>
      <c r="H398" s="15">
        <v>63359.5</v>
      </c>
      <c r="I398" s="15">
        <v>0</v>
      </c>
      <c r="J398" s="42"/>
      <c r="K398" s="42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</row>
    <row r="399" spans="1:227" s="6" customFormat="1">
      <c r="A399" s="82"/>
      <c r="B399" s="83"/>
      <c r="C399" s="74" t="s">
        <v>16</v>
      </c>
      <c r="D399" s="15">
        <f t="shared" ref="D399:H399" si="168">SUM(D392:D398)</f>
        <v>388059</v>
      </c>
      <c r="E399" s="15">
        <f t="shared" si="168"/>
        <v>0</v>
      </c>
      <c r="F399" s="15">
        <f t="shared" si="168"/>
        <v>0</v>
      </c>
      <c r="G399" s="15">
        <f t="shared" si="168"/>
        <v>0</v>
      </c>
      <c r="H399" s="15">
        <f t="shared" si="168"/>
        <v>388059</v>
      </c>
      <c r="I399" s="15">
        <f>SUM(I392:I398)</f>
        <v>0</v>
      </c>
      <c r="J399" s="42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</row>
    <row r="400" spans="1:227" s="6" customFormat="1">
      <c r="A400" s="76" t="s">
        <v>98</v>
      </c>
      <c r="B400" s="17"/>
      <c r="C400" s="18"/>
      <c r="D400" s="19"/>
      <c r="E400" s="20"/>
      <c r="F400" s="20"/>
      <c r="G400" s="20"/>
      <c r="H400" s="20"/>
      <c r="I400" s="21"/>
      <c r="J400" s="42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</row>
    <row r="401" spans="1:227" s="6" customFormat="1" ht="19.5" customHeight="1">
      <c r="A401" s="78" t="s">
        <v>16</v>
      </c>
      <c r="B401" s="80"/>
      <c r="C401" s="75">
        <v>2027</v>
      </c>
      <c r="D401" s="16">
        <f t="shared" ref="D401:I401" si="169">D403</f>
        <v>6001.1</v>
      </c>
      <c r="E401" s="16">
        <f t="shared" si="169"/>
        <v>0</v>
      </c>
      <c r="F401" s="16">
        <f t="shared" si="169"/>
        <v>0</v>
      </c>
      <c r="G401" s="16">
        <f t="shared" si="169"/>
        <v>0</v>
      </c>
      <c r="H401" s="16">
        <f t="shared" si="169"/>
        <v>6001.1</v>
      </c>
      <c r="I401" s="16">
        <f t="shared" si="169"/>
        <v>0</v>
      </c>
      <c r="J401" s="40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</row>
    <row r="402" spans="1:227" s="6" customFormat="1" ht="28.5" customHeight="1">
      <c r="A402" s="79"/>
      <c r="B402" s="80"/>
      <c r="C402" s="75" t="s">
        <v>16</v>
      </c>
      <c r="D402" s="16">
        <f t="shared" ref="D402:I402" si="170">SUM(D401:D401)</f>
        <v>6001.1</v>
      </c>
      <c r="E402" s="16">
        <f t="shared" si="170"/>
        <v>0</v>
      </c>
      <c r="F402" s="16">
        <f t="shared" si="170"/>
        <v>0</v>
      </c>
      <c r="G402" s="16">
        <f t="shared" si="170"/>
        <v>0</v>
      </c>
      <c r="H402" s="16">
        <f t="shared" si="170"/>
        <v>6001.1</v>
      </c>
      <c r="I402" s="16">
        <f t="shared" si="170"/>
        <v>0</v>
      </c>
      <c r="J402" s="40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</row>
    <row r="403" spans="1:227" s="6" customFormat="1" ht="21.75" customHeight="1">
      <c r="A403" s="81" t="s">
        <v>94</v>
      </c>
      <c r="B403" s="83"/>
      <c r="C403" s="74">
        <v>2027</v>
      </c>
      <c r="D403" s="15">
        <f t="shared" ref="D403" si="171">SUM(E403:I403)</f>
        <v>6001.1</v>
      </c>
      <c r="E403" s="15">
        <v>0</v>
      </c>
      <c r="F403" s="15">
        <v>0</v>
      </c>
      <c r="G403" s="15">
        <v>0</v>
      </c>
      <c r="H403" s="15">
        <v>6001.1</v>
      </c>
      <c r="I403" s="15">
        <v>0</v>
      </c>
      <c r="J403" s="42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</row>
    <row r="404" spans="1:227" s="6" customFormat="1" ht="33.75" customHeight="1">
      <c r="A404" s="82"/>
      <c r="B404" s="83"/>
      <c r="C404" s="74" t="s">
        <v>16</v>
      </c>
      <c r="D404" s="15">
        <f t="shared" ref="D404:I404" si="172">SUM(D403:D403)</f>
        <v>6001.1</v>
      </c>
      <c r="E404" s="15">
        <f t="shared" si="172"/>
        <v>0</v>
      </c>
      <c r="F404" s="15">
        <f t="shared" si="172"/>
        <v>0</v>
      </c>
      <c r="G404" s="15">
        <f t="shared" si="172"/>
        <v>0</v>
      </c>
      <c r="H404" s="15">
        <f t="shared" si="172"/>
        <v>6001.1</v>
      </c>
      <c r="I404" s="15">
        <f t="shared" si="172"/>
        <v>0</v>
      </c>
      <c r="J404" s="42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</row>
  </sheetData>
  <mergeCells count="188">
    <mergeCell ref="G5:I5"/>
    <mergeCell ref="G6:I6"/>
    <mergeCell ref="A11:A12"/>
    <mergeCell ref="B11:B12"/>
    <mergeCell ref="C11:C12"/>
    <mergeCell ref="D11:I11"/>
    <mergeCell ref="A14:A21"/>
    <mergeCell ref="B14:B21"/>
    <mergeCell ref="A41:A46"/>
    <mergeCell ref="B41:B46"/>
    <mergeCell ref="A47:A49"/>
    <mergeCell ref="B47:B49"/>
    <mergeCell ref="A50:A52"/>
    <mergeCell ref="B50:B52"/>
    <mergeCell ref="A23:A28"/>
    <mergeCell ref="B23:B28"/>
    <mergeCell ref="A29:A34"/>
    <mergeCell ref="B29:B34"/>
    <mergeCell ref="A35:A40"/>
    <mergeCell ref="B35:B40"/>
    <mergeCell ref="A61:A63"/>
    <mergeCell ref="B61:B63"/>
    <mergeCell ref="A64:A66"/>
    <mergeCell ref="B64:B66"/>
    <mergeCell ref="A67:A69"/>
    <mergeCell ref="B67:B69"/>
    <mergeCell ref="A53:A55"/>
    <mergeCell ref="B53:B55"/>
    <mergeCell ref="A56:A57"/>
    <mergeCell ref="B56:B57"/>
    <mergeCell ref="A58:A60"/>
    <mergeCell ref="B58:B60"/>
    <mergeCell ref="A79:A81"/>
    <mergeCell ref="B79:B81"/>
    <mergeCell ref="A82:A84"/>
    <mergeCell ref="B82:B84"/>
    <mergeCell ref="A85:A87"/>
    <mergeCell ref="B85:B87"/>
    <mergeCell ref="A70:A72"/>
    <mergeCell ref="B70:B72"/>
    <mergeCell ref="A73:A75"/>
    <mergeCell ref="B73:B75"/>
    <mergeCell ref="A76:A78"/>
    <mergeCell ref="B76:B78"/>
    <mergeCell ref="A97:A99"/>
    <mergeCell ref="B97:B99"/>
    <mergeCell ref="A100:A102"/>
    <mergeCell ref="B100:B102"/>
    <mergeCell ref="A103:A105"/>
    <mergeCell ref="B103:B105"/>
    <mergeCell ref="A88:A90"/>
    <mergeCell ref="B88:B90"/>
    <mergeCell ref="A91:A93"/>
    <mergeCell ref="B91:B93"/>
    <mergeCell ref="A94:A96"/>
    <mergeCell ref="B94:B96"/>
    <mergeCell ref="A122:A124"/>
    <mergeCell ref="B122:B124"/>
    <mergeCell ref="A125:A127"/>
    <mergeCell ref="B125:B127"/>
    <mergeCell ref="A128:A131"/>
    <mergeCell ref="B128:B131"/>
    <mergeCell ref="A106:A111"/>
    <mergeCell ref="B106:B111"/>
    <mergeCell ref="A112:A116"/>
    <mergeCell ref="B112:B116"/>
    <mergeCell ref="A117:A121"/>
    <mergeCell ref="B117:B121"/>
    <mergeCell ref="A141:A143"/>
    <mergeCell ref="B141:B143"/>
    <mergeCell ref="A144:A146"/>
    <mergeCell ref="B144:B146"/>
    <mergeCell ref="A147:A150"/>
    <mergeCell ref="B147:B150"/>
    <mergeCell ref="A132:A134"/>
    <mergeCell ref="B132:B134"/>
    <mergeCell ref="A135:A137"/>
    <mergeCell ref="B135:B137"/>
    <mergeCell ref="A138:A140"/>
    <mergeCell ref="B138:B140"/>
    <mergeCell ref="A160:A167"/>
    <mergeCell ref="B160:B167"/>
    <mergeCell ref="A169:A176"/>
    <mergeCell ref="B169:B176"/>
    <mergeCell ref="A177:A184"/>
    <mergeCell ref="B177:B184"/>
    <mergeCell ref="A151:A154"/>
    <mergeCell ref="B151:B154"/>
    <mergeCell ref="A155:A156"/>
    <mergeCell ref="B155:B156"/>
    <mergeCell ref="A157:A158"/>
    <mergeCell ref="B157:B158"/>
    <mergeCell ref="A205:A212"/>
    <mergeCell ref="B205:B212"/>
    <mergeCell ref="A213:A218"/>
    <mergeCell ref="B213:B218"/>
    <mergeCell ref="A219:A221"/>
    <mergeCell ref="B219:B221"/>
    <mergeCell ref="A185:A192"/>
    <mergeCell ref="B185:B192"/>
    <mergeCell ref="A193:A200"/>
    <mergeCell ref="B193:B200"/>
    <mergeCell ref="A201:A204"/>
    <mergeCell ref="B201:B204"/>
    <mergeCell ref="A231:A233"/>
    <mergeCell ref="B231:B233"/>
    <mergeCell ref="A234:A239"/>
    <mergeCell ref="B234:B239"/>
    <mergeCell ref="A240:A244"/>
    <mergeCell ref="B240:B244"/>
    <mergeCell ref="A222:A224"/>
    <mergeCell ref="B222:B224"/>
    <mergeCell ref="A225:A227"/>
    <mergeCell ref="B225:B227"/>
    <mergeCell ref="A228:A230"/>
    <mergeCell ref="B228:B230"/>
    <mergeCell ref="A259:A266"/>
    <mergeCell ref="B259:B266"/>
    <mergeCell ref="A267:A269"/>
    <mergeCell ref="B267:B269"/>
    <mergeCell ref="A270:A273"/>
    <mergeCell ref="B270:B273"/>
    <mergeCell ref="A245:A247"/>
    <mergeCell ref="B245:B247"/>
    <mergeCell ref="A248:A249"/>
    <mergeCell ref="B248:B249"/>
    <mergeCell ref="A250:I250"/>
    <mergeCell ref="A251:A258"/>
    <mergeCell ref="B251:B258"/>
    <mergeCell ref="A298:A303"/>
    <mergeCell ref="B298:B303"/>
    <mergeCell ref="A304:A306"/>
    <mergeCell ref="B304:B306"/>
    <mergeCell ref="A307:A310"/>
    <mergeCell ref="B307:B310"/>
    <mergeCell ref="A275:A282"/>
    <mergeCell ref="B275:B282"/>
    <mergeCell ref="A283:A290"/>
    <mergeCell ref="B283:B290"/>
    <mergeCell ref="A292:A297"/>
    <mergeCell ref="B292:B297"/>
    <mergeCell ref="A317:A318"/>
    <mergeCell ref="B317:B318"/>
    <mergeCell ref="A319:I319"/>
    <mergeCell ref="A320:A324"/>
    <mergeCell ref="B320:B324"/>
    <mergeCell ref="A325:A329"/>
    <mergeCell ref="B325:B329"/>
    <mergeCell ref="A311:A312"/>
    <mergeCell ref="B311:B312"/>
    <mergeCell ref="A313:A314"/>
    <mergeCell ref="B313:B314"/>
    <mergeCell ref="A315:A316"/>
    <mergeCell ref="B315:B316"/>
    <mergeCell ref="A350:A355"/>
    <mergeCell ref="B350:B355"/>
    <mergeCell ref="A356:A357"/>
    <mergeCell ref="B356:B357"/>
    <mergeCell ref="A358:A359"/>
    <mergeCell ref="B358:B359"/>
    <mergeCell ref="A330:A332"/>
    <mergeCell ref="B330:B332"/>
    <mergeCell ref="A334:A341"/>
    <mergeCell ref="B334:B341"/>
    <mergeCell ref="A342:A349"/>
    <mergeCell ref="B342:B349"/>
    <mergeCell ref="A370:A372"/>
    <mergeCell ref="B370:B372"/>
    <mergeCell ref="A373:A376"/>
    <mergeCell ref="B373:B376"/>
    <mergeCell ref="A377:A379"/>
    <mergeCell ref="B377:B379"/>
    <mergeCell ref="A360:A362"/>
    <mergeCell ref="B360:B362"/>
    <mergeCell ref="A363:A364"/>
    <mergeCell ref="B363:B364"/>
    <mergeCell ref="A366:A369"/>
    <mergeCell ref="B366:B369"/>
    <mergeCell ref="A401:A402"/>
    <mergeCell ref="B401:B402"/>
    <mergeCell ref="A403:A404"/>
    <mergeCell ref="B403:B404"/>
    <mergeCell ref="A380:A382"/>
    <mergeCell ref="B380:B382"/>
    <mergeCell ref="A384:A391"/>
    <mergeCell ref="B384:B391"/>
    <mergeCell ref="A392:A399"/>
    <mergeCell ref="B392:B399"/>
  </mergeCells>
  <hyperlinks>
    <hyperlink ref="I2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3" manualBreakCount="13">
    <brk id="21" max="8" man="1"/>
    <brk id="52" max="8" man="1"/>
    <brk id="78" max="8" man="1"/>
    <brk id="105" max="8" man="1"/>
    <brk id="137" max="8" man="1"/>
    <brk id="158" max="8" man="1"/>
    <brk id="192" max="8" man="1"/>
    <brk id="218" max="8" man="1"/>
    <brk id="247" max="8" man="1"/>
    <brk id="273" max="8" man="1"/>
    <brk id="310" max="8" man="1"/>
    <brk id="341" max="8" man="1"/>
    <brk id="3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 к МП</vt:lpstr>
      <vt:lpstr>'Приложение №3 к МП'!Область_печати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2026-02-17T13:17:57Z</dcterms:modified>
</cp:coreProperties>
</file>