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730"/>
  </bookViews>
  <sheets>
    <sheet name="Приложение к пост.2 (2)" sheetId="42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mnb" localSheetId="0">#REF!</definedName>
    <definedName name="mnb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куку" localSheetId="0">#REF!</definedName>
    <definedName name="куку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'Приложение к пост.2 (2)'!$A$1:$I$426</definedName>
    <definedName name="ООО" localSheetId="0">#REF!</definedName>
    <definedName name="ООО">#REF!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таня" localSheetId="0">#REF!</definedName>
    <definedName name="таня">#REF!</definedName>
    <definedName name="ФВЫ" localSheetId="0">#REF!</definedName>
    <definedName name="ФВЫ">#REF!</definedName>
    <definedName name="щшг" localSheetId="0">#REF!</definedName>
    <definedName name="щшг">#REF!</definedName>
    <definedName name="ъэю" localSheetId="0">#REF!</definedName>
    <definedName name="ъэю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0" i="42"/>
  <c r="F360"/>
  <c r="G360"/>
  <c r="H360"/>
  <c r="I360"/>
  <c r="E358"/>
  <c r="F358"/>
  <c r="G358"/>
  <c r="H358"/>
  <c r="I358"/>
  <c r="D377"/>
  <c r="E377"/>
  <c r="F377"/>
  <c r="G377"/>
  <c r="H377"/>
  <c r="I377"/>
  <c r="D376"/>
  <c r="D374"/>
  <c r="G383" l="1"/>
  <c r="G347" l="1"/>
  <c r="H304"/>
  <c r="H198"/>
  <c r="H418" l="1"/>
  <c r="H347"/>
  <c r="H214"/>
  <c r="I426"/>
  <c r="H426"/>
  <c r="G426"/>
  <c r="F426"/>
  <c r="E426"/>
  <c r="D425"/>
  <c r="D423" s="1"/>
  <c r="D424" s="1"/>
  <c r="E424"/>
  <c r="I423"/>
  <c r="I424" s="1"/>
  <c r="H423"/>
  <c r="H424" s="1"/>
  <c r="G423"/>
  <c r="G424" s="1"/>
  <c r="F423"/>
  <c r="F424" s="1"/>
  <c r="E423"/>
  <c r="I421"/>
  <c r="G421"/>
  <c r="F421"/>
  <c r="E421"/>
  <c r="H420"/>
  <c r="H412" s="1"/>
  <c r="D420"/>
  <c r="H419"/>
  <c r="D419" s="1"/>
  <c r="D411" s="1"/>
  <c r="D418"/>
  <c r="D410" s="1"/>
  <c r="H417"/>
  <c r="D417" s="1"/>
  <c r="D409" s="1"/>
  <c r="D416"/>
  <c r="D415"/>
  <c r="D414"/>
  <c r="I412"/>
  <c r="G412"/>
  <c r="F412"/>
  <c r="E412"/>
  <c r="D412"/>
  <c r="I411"/>
  <c r="H411"/>
  <c r="G411"/>
  <c r="F411"/>
  <c r="E411"/>
  <c r="I410"/>
  <c r="G410"/>
  <c r="F410"/>
  <c r="E410"/>
  <c r="I409"/>
  <c r="H409"/>
  <c r="G409"/>
  <c r="F409"/>
  <c r="E409"/>
  <c r="I408"/>
  <c r="H408"/>
  <c r="G408"/>
  <c r="F408"/>
  <c r="E408"/>
  <c r="D408"/>
  <c r="I407"/>
  <c r="H407"/>
  <c r="G407"/>
  <c r="F407"/>
  <c r="E407"/>
  <c r="D407"/>
  <c r="I406"/>
  <c r="H406"/>
  <c r="G406"/>
  <c r="F406"/>
  <c r="E406"/>
  <c r="D406"/>
  <c r="I404"/>
  <c r="H404"/>
  <c r="G404"/>
  <c r="F404"/>
  <c r="E404"/>
  <c r="D404"/>
  <c r="D403"/>
  <c r="D402"/>
  <c r="I401"/>
  <c r="H401"/>
  <c r="G401"/>
  <c r="F401"/>
  <c r="E401"/>
  <c r="D400"/>
  <c r="D399"/>
  <c r="I398"/>
  <c r="H398"/>
  <c r="G398"/>
  <c r="F398"/>
  <c r="E398"/>
  <c r="H397"/>
  <c r="D397"/>
  <c r="H396"/>
  <c r="D396"/>
  <c r="D395"/>
  <c r="I394"/>
  <c r="H394"/>
  <c r="G394"/>
  <c r="F394"/>
  <c r="E394"/>
  <c r="D394"/>
  <c r="D393"/>
  <c r="D392"/>
  <c r="I390"/>
  <c r="H390"/>
  <c r="G390"/>
  <c r="F390"/>
  <c r="E390"/>
  <c r="I389"/>
  <c r="I391" s="1"/>
  <c r="H389"/>
  <c r="G389"/>
  <c r="G391" s="1"/>
  <c r="F389"/>
  <c r="F391" s="1"/>
  <c r="E389"/>
  <c r="I388"/>
  <c r="H388"/>
  <c r="G388"/>
  <c r="F388"/>
  <c r="E388"/>
  <c r="I386"/>
  <c r="F386"/>
  <c r="E386"/>
  <c r="H385"/>
  <c r="H386" s="1"/>
  <c r="G385"/>
  <c r="G386" s="1"/>
  <c r="I384"/>
  <c r="G384"/>
  <c r="F384"/>
  <c r="E384"/>
  <c r="H383"/>
  <c r="D383" s="1"/>
  <c r="H382"/>
  <c r="H384" s="1"/>
  <c r="D382"/>
  <c r="I381"/>
  <c r="H381"/>
  <c r="G381"/>
  <c r="F381"/>
  <c r="E381"/>
  <c r="D381"/>
  <c r="D380"/>
  <c r="I379"/>
  <c r="H379"/>
  <c r="G379"/>
  <c r="F379"/>
  <c r="E379"/>
  <c r="D378"/>
  <c r="D379" s="1"/>
  <c r="D375"/>
  <c r="D373"/>
  <c r="D372"/>
  <c r="D371"/>
  <c r="D370"/>
  <c r="I369"/>
  <c r="H369"/>
  <c r="G369"/>
  <c r="F369"/>
  <c r="E369"/>
  <c r="D368"/>
  <c r="D360" s="1"/>
  <c r="D367"/>
  <c r="D366"/>
  <c r="H365"/>
  <c r="D365" s="1"/>
  <c r="D364"/>
  <c r="D363"/>
  <c r="D355" s="1"/>
  <c r="D362"/>
  <c r="D354" s="1"/>
  <c r="I359"/>
  <c r="H359"/>
  <c r="G359"/>
  <c r="F359"/>
  <c r="E359"/>
  <c r="I357"/>
  <c r="G357"/>
  <c r="F357"/>
  <c r="E357"/>
  <c r="I356"/>
  <c r="H356"/>
  <c r="G356"/>
  <c r="F356"/>
  <c r="E356"/>
  <c r="D356"/>
  <c r="I355"/>
  <c r="H355"/>
  <c r="G355"/>
  <c r="F355"/>
  <c r="E355"/>
  <c r="I354"/>
  <c r="H354"/>
  <c r="G354"/>
  <c r="F354"/>
  <c r="E354"/>
  <c r="I352"/>
  <c r="G352"/>
  <c r="F352"/>
  <c r="E352"/>
  <c r="H351"/>
  <c r="D351" s="1"/>
  <c r="H350"/>
  <c r="D350" s="1"/>
  <c r="D352" s="1"/>
  <c r="D349"/>
  <c r="I348"/>
  <c r="G348"/>
  <c r="F348"/>
  <c r="E348"/>
  <c r="D347"/>
  <c r="D346"/>
  <c r="D345"/>
  <c r="D339" s="1"/>
  <c r="D344"/>
  <c r="D338" s="1"/>
  <c r="D343"/>
  <c r="D337" s="1"/>
  <c r="I341"/>
  <c r="G341"/>
  <c r="F341"/>
  <c r="E341"/>
  <c r="I340"/>
  <c r="G340"/>
  <c r="F340"/>
  <c r="E340"/>
  <c r="I339"/>
  <c r="H339"/>
  <c r="G339"/>
  <c r="F339"/>
  <c r="F179" s="1"/>
  <c r="E339"/>
  <c r="I338"/>
  <c r="H338"/>
  <c r="G338"/>
  <c r="F338"/>
  <c r="E338"/>
  <c r="I337"/>
  <c r="H337"/>
  <c r="G337"/>
  <c r="F337"/>
  <c r="E337"/>
  <c r="I335"/>
  <c r="H335"/>
  <c r="F335"/>
  <c r="E335"/>
  <c r="G334"/>
  <c r="D334" s="1"/>
  <c r="D335" s="1"/>
  <c r="I333"/>
  <c r="H333"/>
  <c r="F333"/>
  <c r="E333"/>
  <c r="G332"/>
  <c r="G333" s="1"/>
  <c r="D332"/>
  <c r="D333" s="1"/>
  <c r="I331"/>
  <c r="F331"/>
  <c r="E331"/>
  <c r="H330"/>
  <c r="H331" s="1"/>
  <c r="G330"/>
  <c r="D330"/>
  <c r="D331" s="1"/>
  <c r="I329"/>
  <c r="H329"/>
  <c r="G329"/>
  <c r="F329"/>
  <c r="E329"/>
  <c r="D329"/>
  <c r="D328"/>
  <c r="I327"/>
  <c r="H327"/>
  <c r="G327"/>
  <c r="F327"/>
  <c r="E327"/>
  <c r="D326"/>
  <c r="D325"/>
  <c r="D324"/>
  <c r="D327" s="1"/>
  <c r="I323"/>
  <c r="H323"/>
  <c r="G323"/>
  <c r="F323"/>
  <c r="E323"/>
  <c r="D322"/>
  <c r="D321"/>
  <c r="D323" s="1"/>
  <c r="I320"/>
  <c r="G320"/>
  <c r="F320"/>
  <c r="E320"/>
  <c r="H319"/>
  <c r="D319" s="1"/>
  <c r="H318"/>
  <c r="D318" s="1"/>
  <c r="D317"/>
  <c r="D316"/>
  <c r="D315"/>
  <c r="I313"/>
  <c r="G313"/>
  <c r="F313"/>
  <c r="E313"/>
  <c r="I312"/>
  <c r="F312"/>
  <c r="E312"/>
  <c r="I311"/>
  <c r="H311"/>
  <c r="G311"/>
  <c r="F311"/>
  <c r="E311"/>
  <c r="I310"/>
  <c r="H310"/>
  <c r="G310"/>
  <c r="F310"/>
  <c r="E310"/>
  <c r="I309"/>
  <c r="H309"/>
  <c r="G309"/>
  <c r="F309"/>
  <c r="E309"/>
  <c r="I307"/>
  <c r="G307"/>
  <c r="F307"/>
  <c r="F299" s="1"/>
  <c r="E307"/>
  <c r="E299" s="1"/>
  <c r="D306"/>
  <c r="D305"/>
  <c r="D297" s="1"/>
  <c r="H307"/>
  <c r="H299" s="1"/>
  <c r="D304"/>
  <c r="D296" s="1"/>
  <c r="D303"/>
  <c r="D295" s="1"/>
  <c r="D302"/>
  <c r="D301"/>
  <c r="D300"/>
  <c r="I299"/>
  <c r="G299"/>
  <c r="I298"/>
  <c r="H298"/>
  <c r="G298"/>
  <c r="F298"/>
  <c r="E298"/>
  <c r="D298" s="1"/>
  <c r="I297"/>
  <c r="H297"/>
  <c r="G297"/>
  <c r="F297"/>
  <c r="E297"/>
  <c r="I296"/>
  <c r="G296"/>
  <c r="F296"/>
  <c r="F181" s="1"/>
  <c r="E296"/>
  <c r="I295"/>
  <c r="H295"/>
  <c r="G295"/>
  <c r="F295"/>
  <c r="E295"/>
  <c r="I294"/>
  <c r="H294"/>
  <c r="G294"/>
  <c r="F294"/>
  <c r="E294"/>
  <c r="D294"/>
  <c r="I293"/>
  <c r="H293"/>
  <c r="G293"/>
  <c r="F293"/>
  <c r="E293"/>
  <c r="D293"/>
  <c r="I292"/>
  <c r="H292"/>
  <c r="G292"/>
  <c r="F292"/>
  <c r="E292"/>
  <c r="D292"/>
  <c r="I290"/>
  <c r="H290"/>
  <c r="G290"/>
  <c r="F290"/>
  <c r="E290"/>
  <c r="D289"/>
  <c r="D288"/>
  <c r="D287"/>
  <c r="D290" s="1"/>
  <c r="I286"/>
  <c r="H286"/>
  <c r="G286"/>
  <c r="F286"/>
  <c r="E286"/>
  <c r="D285"/>
  <c r="D286" s="1"/>
  <c r="D284"/>
  <c r="I283"/>
  <c r="G283"/>
  <c r="F283"/>
  <c r="E283"/>
  <c r="D282"/>
  <c r="D281"/>
  <c r="H280"/>
  <c r="H272" s="1"/>
  <c r="D280"/>
  <c r="H279"/>
  <c r="D279" s="1"/>
  <c r="D278"/>
  <c r="D277"/>
  <c r="D269" s="1"/>
  <c r="D276"/>
  <c r="I274"/>
  <c r="H274"/>
  <c r="G274"/>
  <c r="F274"/>
  <c r="E274"/>
  <c r="I273"/>
  <c r="H273"/>
  <c r="G273"/>
  <c r="F273"/>
  <c r="D273" s="1"/>
  <c r="E273"/>
  <c r="I272"/>
  <c r="G272"/>
  <c r="F272"/>
  <c r="E272"/>
  <c r="I271"/>
  <c r="G271"/>
  <c r="F271"/>
  <c r="E271"/>
  <c r="I270"/>
  <c r="H270"/>
  <c r="G270"/>
  <c r="G179" s="1"/>
  <c r="F270"/>
  <c r="E270"/>
  <c r="I269"/>
  <c r="H269"/>
  <c r="G269"/>
  <c r="F269"/>
  <c r="E269"/>
  <c r="I268"/>
  <c r="H268"/>
  <c r="G268"/>
  <c r="F268"/>
  <c r="E268"/>
  <c r="D268"/>
  <c r="I266"/>
  <c r="H266"/>
  <c r="F266"/>
  <c r="E266"/>
  <c r="G265"/>
  <c r="D265" s="1"/>
  <c r="D266" s="1"/>
  <c r="I264"/>
  <c r="H264"/>
  <c r="F264"/>
  <c r="E264"/>
  <c r="G263"/>
  <c r="D263" s="1"/>
  <c r="G262"/>
  <c r="D262" s="1"/>
  <c r="D264" s="1"/>
  <c r="I261"/>
  <c r="H261"/>
  <c r="F261"/>
  <c r="E261"/>
  <c r="G260"/>
  <c r="G261" s="1"/>
  <c r="D259"/>
  <c r="D258"/>
  <c r="D257"/>
  <c r="I256"/>
  <c r="F256"/>
  <c r="E256"/>
  <c r="D255"/>
  <c r="H254"/>
  <c r="D254" s="1"/>
  <c r="G254"/>
  <c r="G256" s="1"/>
  <c r="D253"/>
  <c r="D252"/>
  <c r="D251"/>
  <c r="I250"/>
  <c r="H250"/>
  <c r="G250"/>
  <c r="F250"/>
  <c r="E250"/>
  <c r="D249"/>
  <c r="D248"/>
  <c r="I247"/>
  <c r="H247"/>
  <c r="G247"/>
  <c r="F247"/>
  <c r="E247"/>
  <c r="D246"/>
  <c r="D245"/>
  <c r="I244"/>
  <c r="H244"/>
  <c r="G244"/>
  <c r="F244"/>
  <c r="E244"/>
  <c r="D243"/>
  <c r="D242"/>
  <c r="D244" s="1"/>
  <c r="I241"/>
  <c r="H241"/>
  <c r="G241"/>
  <c r="F241"/>
  <c r="E241"/>
  <c r="D240"/>
  <c r="D239"/>
  <c r="I238"/>
  <c r="G238"/>
  <c r="E238"/>
  <c r="H237"/>
  <c r="H238" s="1"/>
  <c r="F237"/>
  <c r="D237" s="1"/>
  <c r="D236"/>
  <c r="D238" s="1"/>
  <c r="I235"/>
  <c r="H235"/>
  <c r="G235"/>
  <c r="F235"/>
  <c r="E235"/>
  <c r="D234"/>
  <c r="D233"/>
  <c r="D232"/>
  <c r="D231"/>
  <c r="D230"/>
  <c r="I229"/>
  <c r="H229"/>
  <c r="G229"/>
  <c r="F229"/>
  <c r="E229"/>
  <c r="D228"/>
  <c r="D227"/>
  <c r="H226"/>
  <c r="D226" s="1"/>
  <c r="D225"/>
  <c r="D224"/>
  <c r="D223"/>
  <c r="D222"/>
  <c r="I221"/>
  <c r="H221"/>
  <c r="G221"/>
  <c r="F221"/>
  <c r="E221"/>
  <c r="D220"/>
  <c r="D219"/>
  <c r="D218"/>
  <c r="D221" s="1"/>
  <c r="I217"/>
  <c r="G217"/>
  <c r="F217"/>
  <c r="E217"/>
  <c r="D216"/>
  <c r="D215"/>
  <c r="H213"/>
  <c r="D213"/>
  <c r="D212"/>
  <c r="D211"/>
  <c r="D210"/>
  <c r="I209"/>
  <c r="G209"/>
  <c r="F209"/>
  <c r="E209"/>
  <c r="D208"/>
  <c r="D207"/>
  <c r="H206"/>
  <c r="D206" s="1"/>
  <c r="H205"/>
  <c r="D205"/>
  <c r="D204"/>
  <c r="D203"/>
  <c r="D202"/>
  <c r="I201"/>
  <c r="G201"/>
  <c r="F201"/>
  <c r="E201"/>
  <c r="D200"/>
  <c r="H199"/>
  <c r="H191" s="1"/>
  <c r="I198"/>
  <c r="D198"/>
  <c r="H197"/>
  <c r="H189" s="1"/>
  <c r="D197"/>
  <c r="D196"/>
  <c r="D195"/>
  <c r="D194"/>
  <c r="I192"/>
  <c r="I183" s="1"/>
  <c r="H192"/>
  <c r="G192"/>
  <c r="G183" s="1"/>
  <c r="F192"/>
  <c r="E192"/>
  <c r="I191"/>
  <c r="G191"/>
  <c r="F191"/>
  <c r="E191"/>
  <c r="I190"/>
  <c r="I181" s="1"/>
  <c r="F190"/>
  <c r="E190"/>
  <c r="I189"/>
  <c r="F189"/>
  <c r="E189"/>
  <c r="I188"/>
  <c r="I179" s="1"/>
  <c r="H188"/>
  <c r="G188"/>
  <c r="F188"/>
  <c r="E188"/>
  <c r="I187"/>
  <c r="H187"/>
  <c r="G187"/>
  <c r="F187"/>
  <c r="E187"/>
  <c r="I186"/>
  <c r="I177" s="1"/>
  <c r="H186"/>
  <c r="G186"/>
  <c r="F186"/>
  <c r="E186"/>
  <c r="F183"/>
  <c r="H179"/>
  <c r="I175"/>
  <c r="H175"/>
  <c r="G175"/>
  <c r="F175"/>
  <c r="E175"/>
  <c r="D174"/>
  <c r="D175" s="1"/>
  <c r="I173"/>
  <c r="H172"/>
  <c r="H173" s="1"/>
  <c r="G172"/>
  <c r="G173" s="1"/>
  <c r="F172"/>
  <c r="F173" s="1"/>
  <c r="E172"/>
  <c r="E173" s="1"/>
  <c r="I171"/>
  <c r="G171"/>
  <c r="F171"/>
  <c r="E171"/>
  <c r="H170"/>
  <c r="D170" s="1"/>
  <c r="D166" s="1"/>
  <c r="F170"/>
  <c r="F166" s="1"/>
  <c r="D169"/>
  <c r="D165" s="1"/>
  <c r="D168"/>
  <c r="D164" s="1"/>
  <c r="I166"/>
  <c r="G166"/>
  <c r="E166"/>
  <c r="I165"/>
  <c r="I167" s="1"/>
  <c r="H165"/>
  <c r="G165"/>
  <c r="F165"/>
  <c r="E165"/>
  <c r="H164"/>
  <c r="G164"/>
  <c r="F164"/>
  <c r="E164"/>
  <c r="I163"/>
  <c r="H163"/>
  <c r="G163"/>
  <c r="F163"/>
  <c r="E163"/>
  <c r="D162"/>
  <c r="D161"/>
  <c r="D163" s="1"/>
  <c r="I159"/>
  <c r="I147" s="1"/>
  <c r="H159"/>
  <c r="G159"/>
  <c r="F159"/>
  <c r="E159"/>
  <c r="E147" s="1"/>
  <c r="H158"/>
  <c r="G158"/>
  <c r="F158"/>
  <c r="E158"/>
  <c r="E160" s="1"/>
  <c r="I157"/>
  <c r="H157"/>
  <c r="G157"/>
  <c r="F157"/>
  <c r="E157"/>
  <c r="G156"/>
  <c r="F156"/>
  <c r="D156" s="1"/>
  <c r="D155"/>
  <c r="I154"/>
  <c r="H154"/>
  <c r="G154"/>
  <c r="F154"/>
  <c r="E154"/>
  <c r="D153"/>
  <c r="D152"/>
  <c r="D149" s="1"/>
  <c r="I150"/>
  <c r="H150"/>
  <c r="H146" s="1"/>
  <c r="G150"/>
  <c r="F150"/>
  <c r="E150"/>
  <c r="I149"/>
  <c r="I151" s="1"/>
  <c r="H149"/>
  <c r="H151" s="1"/>
  <c r="G149"/>
  <c r="F149"/>
  <c r="F151" s="1"/>
  <c r="E149"/>
  <c r="E151" s="1"/>
  <c r="I146"/>
  <c r="I144"/>
  <c r="H144"/>
  <c r="G144"/>
  <c r="F144"/>
  <c r="E144"/>
  <c r="D143"/>
  <c r="D142"/>
  <c r="D144" s="1"/>
  <c r="I140"/>
  <c r="I127" s="1"/>
  <c r="H140"/>
  <c r="H127" s="1"/>
  <c r="G140"/>
  <c r="G127" s="1"/>
  <c r="F140"/>
  <c r="E140"/>
  <c r="E127" s="1"/>
  <c r="I139"/>
  <c r="H139"/>
  <c r="G139"/>
  <c r="F139"/>
  <c r="F141" s="1"/>
  <c r="E139"/>
  <c r="D139"/>
  <c r="I138"/>
  <c r="H138"/>
  <c r="G138"/>
  <c r="F138"/>
  <c r="E138"/>
  <c r="D137"/>
  <c r="H136"/>
  <c r="H131" s="1"/>
  <c r="H125" s="1"/>
  <c r="D136"/>
  <c r="D131" s="1"/>
  <c r="D125" s="1"/>
  <c r="D135"/>
  <c r="D134"/>
  <c r="D138" s="1"/>
  <c r="I132"/>
  <c r="H132"/>
  <c r="G132"/>
  <c r="F132"/>
  <c r="E132"/>
  <c r="E126" s="1"/>
  <c r="D132"/>
  <c r="I131"/>
  <c r="G131"/>
  <c r="G125" s="1"/>
  <c r="F131"/>
  <c r="F125" s="1"/>
  <c r="E131"/>
  <c r="E125" s="1"/>
  <c r="I130"/>
  <c r="I124" s="1"/>
  <c r="H130"/>
  <c r="H124" s="1"/>
  <c r="G130"/>
  <c r="G124" s="1"/>
  <c r="F130"/>
  <c r="F124" s="1"/>
  <c r="E130"/>
  <c r="E124" s="1"/>
  <c r="D130"/>
  <c r="D124" s="1"/>
  <c r="I129"/>
  <c r="H129"/>
  <c r="G129"/>
  <c r="F129"/>
  <c r="E129"/>
  <c r="E123" s="1"/>
  <c r="F127"/>
  <c r="I126"/>
  <c r="I125"/>
  <c r="I123"/>
  <c r="H123"/>
  <c r="G123"/>
  <c r="I122"/>
  <c r="H122"/>
  <c r="G122"/>
  <c r="F122"/>
  <c r="E122"/>
  <c r="D121"/>
  <c r="D118" s="1"/>
  <c r="D120"/>
  <c r="D122" s="1"/>
  <c r="I118"/>
  <c r="I119" s="1"/>
  <c r="H118"/>
  <c r="H119" s="1"/>
  <c r="G118"/>
  <c r="F118"/>
  <c r="E118"/>
  <c r="H117"/>
  <c r="G117"/>
  <c r="F117"/>
  <c r="E117"/>
  <c r="I116"/>
  <c r="H116"/>
  <c r="G116"/>
  <c r="F116"/>
  <c r="E116"/>
  <c r="D115"/>
  <c r="D114"/>
  <c r="D111" s="1"/>
  <c r="I112"/>
  <c r="I113" s="1"/>
  <c r="H112"/>
  <c r="G112"/>
  <c r="F112"/>
  <c r="E112"/>
  <c r="D112"/>
  <c r="H111"/>
  <c r="H113" s="1"/>
  <c r="G111"/>
  <c r="F111"/>
  <c r="E111"/>
  <c r="E113" s="1"/>
  <c r="I110"/>
  <c r="H110"/>
  <c r="G110"/>
  <c r="F110"/>
  <c r="E110"/>
  <c r="D109"/>
  <c r="D108"/>
  <c r="I107"/>
  <c r="H107"/>
  <c r="G107"/>
  <c r="F107"/>
  <c r="E107"/>
  <c r="D106"/>
  <c r="D105"/>
  <c r="D107" s="1"/>
  <c r="I104"/>
  <c r="H104"/>
  <c r="G104"/>
  <c r="F104"/>
  <c r="E104"/>
  <c r="D103"/>
  <c r="D102"/>
  <c r="D104" s="1"/>
  <c r="I101"/>
  <c r="H101"/>
  <c r="G101"/>
  <c r="F101"/>
  <c r="E101"/>
  <c r="D100"/>
  <c r="D97" s="1"/>
  <c r="D99"/>
  <c r="I97"/>
  <c r="H97"/>
  <c r="G97"/>
  <c r="F97"/>
  <c r="E97"/>
  <c r="I96"/>
  <c r="H96"/>
  <c r="H98" s="1"/>
  <c r="G96"/>
  <c r="F96"/>
  <c r="E96"/>
  <c r="I95"/>
  <c r="H95"/>
  <c r="H92" s="1"/>
  <c r="G95"/>
  <c r="G92" s="1"/>
  <c r="F95"/>
  <c r="F92" s="1"/>
  <c r="E95"/>
  <c r="E92" s="1"/>
  <c r="D95"/>
  <c r="D94"/>
  <c r="D93"/>
  <c r="I92"/>
  <c r="I91"/>
  <c r="H91"/>
  <c r="G91"/>
  <c r="F91"/>
  <c r="E91"/>
  <c r="D91"/>
  <c r="H90"/>
  <c r="G90"/>
  <c r="F90"/>
  <c r="E90"/>
  <c r="D90"/>
  <c r="I89"/>
  <c r="H89"/>
  <c r="H86" s="1"/>
  <c r="G89"/>
  <c r="G86" s="1"/>
  <c r="F89"/>
  <c r="F86" s="1"/>
  <c r="E89"/>
  <c r="E86" s="1"/>
  <c r="D88"/>
  <c r="D89" s="1"/>
  <c r="D86" s="1"/>
  <c r="D87"/>
  <c r="I86"/>
  <c r="I85"/>
  <c r="H85"/>
  <c r="G85"/>
  <c r="F85"/>
  <c r="E85"/>
  <c r="I84"/>
  <c r="H84"/>
  <c r="G84"/>
  <c r="F84"/>
  <c r="E84"/>
  <c r="D84"/>
  <c r="I83"/>
  <c r="H83"/>
  <c r="G83"/>
  <c r="F83"/>
  <c r="E83"/>
  <c r="D82"/>
  <c r="D79" s="1"/>
  <c r="D81"/>
  <c r="I79"/>
  <c r="H79"/>
  <c r="G79"/>
  <c r="F79"/>
  <c r="E79"/>
  <c r="I78"/>
  <c r="H78"/>
  <c r="G78"/>
  <c r="F78"/>
  <c r="E78"/>
  <c r="D78"/>
  <c r="I74"/>
  <c r="H74"/>
  <c r="G74"/>
  <c r="F74"/>
  <c r="E74"/>
  <c r="D73"/>
  <c r="D72"/>
  <c r="F71"/>
  <c r="D71" s="1"/>
  <c r="D74" s="1"/>
  <c r="D70"/>
  <c r="I69"/>
  <c r="H69"/>
  <c r="G69"/>
  <c r="E69"/>
  <c r="D68"/>
  <c r="D58" s="1"/>
  <c r="D29" s="1"/>
  <c r="D67"/>
  <c r="F66"/>
  <c r="D66" s="1"/>
  <c r="D69" s="1"/>
  <c r="D65"/>
  <c r="I64"/>
  <c r="F64"/>
  <c r="E64"/>
  <c r="D63"/>
  <c r="D62"/>
  <c r="H61"/>
  <c r="D61" s="1"/>
  <c r="H60"/>
  <c r="G60"/>
  <c r="G64" s="1"/>
  <c r="I58"/>
  <c r="I29" s="1"/>
  <c r="H58"/>
  <c r="H29" s="1"/>
  <c r="G58"/>
  <c r="F58"/>
  <c r="E58"/>
  <c r="I57"/>
  <c r="H57"/>
  <c r="G57"/>
  <c r="F57"/>
  <c r="E57"/>
  <c r="I56"/>
  <c r="I27" s="1"/>
  <c r="H56"/>
  <c r="G56"/>
  <c r="E56"/>
  <c r="I55"/>
  <c r="H55"/>
  <c r="F55"/>
  <c r="E55"/>
  <c r="I54"/>
  <c r="H54"/>
  <c r="G54"/>
  <c r="F54"/>
  <c r="E54"/>
  <c r="D53"/>
  <c r="D52"/>
  <c r="D51"/>
  <c r="D50"/>
  <c r="D49"/>
  <c r="D48"/>
  <c r="D47"/>
  <c r="D31" s="1"/>
  <c r="I46"/>
  <c r="H46"/>
  <c r="F46"/>
  <c r="D45"/>
  <c r="D44"/>
  <c r="D43"/>
  <c r="G42"/>
  <c r="G46" s="1"/>
  <c r="F42"/>
  <c r="F34" s="1"/>
  <c r="F26" s="1"/>
  <c r="E42"/>
  <c r="E46" s="1"/>
  <c r="D41"/>
  <c r="D40"/>
  <c r="I37"/>
  <c r="H37"/>
  <c r="G37"/>
  <c r="F37"/>
  <c r="E37"/>
  <c r="I36"/>
  <c r="H36"/>
  <c r="G36"/>
  <c r="F36"/>
  <c r="E36"/>
  <c r="I35"/>
  <c r="H35"/>
  <c r="G35"/>
  <c r="F35"/>
  <c r="E35"/>
  <c r="I34"/>
  <c r="I26" s="1"/>
  <c r="H34"/>
  <c r="I33"/>
  <c r="I25" s="1"/>
  <c r="H33"/>
  <c r="H25" s="1"/>
  <c r="G33"/>
  <c r="G25" s="1"/>
  <c r="F33"/>
  <c r="F25" s="1"/>
  <c r="E33"/>
  <c r="I32"/>
  <c r="I24" s="1"/>
  <c r="H32"/>
  <c r="G32"/>
  <c r="F32"/>
  <c r="F24" s="1"/>
  <c r="E32"/>
  <c r="E24" s="1"/>
  <c r="D32"/>
  <c r="D24" s="1"/>
  <c r="I31"/>
  <c r="H31"/>
  <c r="H23" s="1"/>
  <c r="G31"/>
  <c r="F31"/>
  <c r="F23" s="1"/>
  <c r="E31"/>
  <c r="E23" s="1"/>
  <c r="G29"/>
  <c r="F29"/>
  <c r="E29"/>
  <c r="I28"/>
  <c r="E25"/>
  <c r="H24"/>
  <c r="G24"/>
  <c r="G23"/>
  <c r="H80" l="1"/>
  <c r="H141"/>
  <c r="I75"/>
  <c r="F119"/>
  <c r="F28"/>
  <c r="D247"/>
  <c r="H177"/>
  <c r="F20"/>
  <c r="G113"/>
  <c r="E141"/>
  <c r="H160"/>
  <c r="H182"/>
  <c r="I314"/>
  <c r="E183"/>
  <c r="E20" s="1"/>
  <c r="E167"/>
  <c r="E342"/>
  <c r="G27"/>
  <c r="G146"/>
  <c r="D320"/>
  <c r="I20"/>
  <c r="D37"/>
  <c r="D60"/>
  <c r="D154"/>
  <c r="G275"/>
  <c r="D299"/>
  <c r="G361"/>
  <c r="E413"/>
  <c r="E314"/>
  <c r="H312"/>
  <c r="G342"/>
  <c r="F413"/>
  <c r="H64"/>
  <c r="D110"/>
  <c r="D158"/>
  <c r="F167"/>
  <c r="I275"/>
  <c r="I182"/>
  <c r="I19" s="1"/>
  <c r="F314"/>
  <c r="G413"/>
  <c r="D64"/>
  <c r="F69"/>
  <c r="G190"/>
  <c r="G181" s="1"/>
  <c r="H296"/>
  <c r="E181"/>
  <c r="I342"/>
  <c r="D348"/>
  <c r="D401"/>
  <c r="H190"/>
  <c r="H193" s="1"/>
  <c r="G28"/>
  <c r="D80"/>
  <c r="D83"/>
  <c r="D101"/>
  <c r="D117"/>
  <c r="D119" s="1"/>
  <c r="D129"/>
  <c r="D123" s="1"/>
  <c r="H201"/>
  <c r="F238"/>
  <c r="D274"/>
  <c r="G312"/>
  <c r="G314" s="1"/>
  <c r="D369"/>
  <c r="D390"/>
  <c r="D398"/>
  <c r="E80"/>
  <c r="E98"/>
  <c r="E133"/>
  <c r="F178"/>
  <c r="I180"/>
  <c r="F361"/>
  <c r="D426"/>
  <c r="D42"/>
  <c r="D46" s="1"/>
  <c r="G55"/>
  <c r="G59" s="1"/>
  <c r="F75"/>
  <c r="F14" s="1"/>
  <c r="F76"/>
  <c r="F133"/>
  <c r="I141"/>
  <c r="E179"/>
  <c r="H313"/>
  <c r="F342"/>
  <c r="D384"/>
  <c r="D388"/>
  <c r="H421"/>
  <c r="G98"/>
  <c r="D157"/>
  <c r="H171"/>
  <c r="D250"/>
  <c r="D307"/>
  <c r="D359"/>
  <c r="I59"/>
  <c r="D113"/>
  <c r="H145"/>
  <c r="H16" s="1"/>
  <c r="F160"/>
  <c r="F177"/>
  <c r="G331"/>
  <c r="I361"/>
  <c r="H357"/>
  <c r="D357" s="1"/>
  <c r="H391"/>
  <c r="E128"/>
  <c r="E27"/>
  <c r="I133"/>
  <c r="H166"/>
  <c r="H167" s="1"/>
  <c r="G177"/>
  <c r="G264"/>
  <c r="D310"/>
  <c r="F56"/>
  <c r="D56" s="1"/>
  <c r="D116"/>
  <c r="H147"/>
  <c r="D199"/>
  <c r="D201" s="1"/>
  <c r="H209"/>
  <c r="H256"/>
  <c r="E275"/>
  <c r="D270"/>
  <c r="D311"/>
  <c r="E361"/>
  <c r="E391"/>
  <c r="I413"/>
  <c r="F59"/>
  <c r="H28"/>
  <c r="F123"/>
  <c r="G133"/>
  <c r="D140"/>
  <c r="D141" s="1"/>
  <c r="G151"/>
  <c r="G167"/>
  <c r="D192"/>
  <c r="D33"/>
  <c r="D25" s="1"/>
  <c r="I76"/>
  <c r="G75"/>
  <c r="H133"/>
  <c r="G145"/>
  <c r="G16" s="1"/>
  <c r="D256"/>
  <c r="F38"/>
  <c r="D36"/>
  <c r="H26"/>
  <c r="G20"/>
  <c r="D229"/>
  <c r="H183"/>
  <c r="D183" s="1"/>
  <c r="I128"/>
  <c r="I145"/>
  <c r="I148" s="1"/>
  <c r="E146"/>
  <c r="D188"/>
  <c r="E119"/>
  <c r="H126"/>
  <c r="H128" s="1"/>
  <c r="F126"/>
  <c r="F146"/>
  <c r="D159"/>
  <c r="D147" s="1"/>
  <c r="G80"/>
  <c r="F98"/>
  <c r="D209"/>
  <c r="I17"/>
  <c r="E182"/>
  <c r="E19" s="1"/>
  <c r="G76"/>
  <c r="D92"/>
  <c r="G119"/>
  <c r="G147"/>
  <c r="E193"/>
  <c r="D235"/>
  <c r="H38"/>
  <c r="I38"/>
  <c r="H27"/>
  <c r="H76"/>
  <c r="I98"/>
  <c r="I178"/>
  <c r="I184" s="1"/>
  <c r="G182"/>
  <c r="E177"/>
  <c r="D177" s="1"/>
  <c r="E75"/>
  <c r="D35"/>
  <c r="D57"/>
  <c r="F113"/>
  <c r="G141"/>
  <c r="D241"/>
  <c r="G178"/>
  <c r="E76"/>
  <c r="H178"/>
  <c r="G14"/>
  <c r="D413"/>
  <c r="D23"/>
  <c r="D127"/>
  <c r="D179"/>
  <c r="D421"/>
  <c r="D272"/>
  <c r="D167"/>
  <c r="I18"/>
  <c r="D283"/>
  <c r="D133"/>
  <c r="D171"/>
  <c r="F275"/>
  <c r="D172"/>
  <c r="D173" s="1"/>
  <c r="D187"/>
  <c r="G266"/>
  <c r="H320"/>
  <c r="G335"/>
  <c r="H352"/>
  <c r="E28"/>
  <c r="E34"/>
  <c r="E38" s="1"/>
  <c r="E178"/>
  <c r="E180"/>
  <c r="D260"/>
  <c r="D261" s="1"/>
  <c r="H271"/>
  <c r="H275" s="1"/>
  <c r="D309"/>
  <c r="D313"/>
  <c r="H340"/>
  <c r="H348"/>
  <c r="I80"/>
  <c r="F193"/>
  <c r="E145"/>
  <c r="F182"/>
  <c r="G34"/>
  <c r="G126"/>
  <c r="F145"/>
  <c r="F16" s="1"/>
  <c r="F147"/>
  <c r="G160"/>
  <c r="G189"/>
  <c r="G180" s="1"/>
  <c r="H217"/>
  <c r="D385"/>
  <c r="D386" s="1"/>
  <c r="H410"/>
  <c r="H413" s="1"/>
  <c r="E59"/>
  <c r="H59"/>
  <c r="D96"/>
  <c r="D98" s="1"/>
  <c r="F180"/>
  <c r="D54"/>
  <c r="H283"/>
  <c r="I23"/>
  <c r="F80"/>
  <c r="D85"/>
  <c r="D76" s="1"/>
  <c r="I160"/>
  <c r="I193"/>
  <c r="D186"/>
  <c r="D358"/>
  <c r="D389"/>
  <c r="D391" s="1"/>
  <c r="H75"/>
  <c r="D150"/>
  <c r="D151" s="1"/>
  <c r="D214"/>
  <c r="D217" s="1"/>
  <c r="H341"/>
  <c r="D126" l="1"/>
  <c r="H342"/>
  <c r="E77"/>
  <c r="H148"/>
  <c r="D128"/>
  <c r="G184"/>
  <c r="F17"/>
  <c r="H180"/>
  <c r="H17" s="1"/>
  <c r="D182"/>
  <c r="D28"/>
  <c r="I16"/>
  <c r="F27"/>
  <c r="F18" s="1"/>
  <c r="F21" s="1"/>
  <c r="E18"/>
  <c r="F15"/>
  <c r="D55"/>
  <c r="D59" s="1"/>
  <c r="D361"/>
  <c r="G18"/>
  <c r="H19"/>
  <c r="D312"/>
  <c r="H314"/>
  <c r="H15"/>
  <c r="G77"/>
  <c r="D145"/>
  <c r="D191"/>
  <c r="D20"/>
  <c r="H181"/>
  <c r="F77"/>
  <c r="G19"/>
  <c r="G26"/>
  <c r="G30" s="1"/>
  <c r="D271"/>
  <c r="D275" s="1"/>
  <c r="H30"/>
  <c r="D160"/>
  <c r="D178"/>
  <c r="D15" s="1"/>
  <c r="D189"/>
  <c r="G15"/>
  <c r="D146"/>
  <c r="D148" s="1"/>
  <c r="G148"/>
  <c r="F128"/>
  <c r="E14"/>
  <c r="I15"/>
  <c r="H20"/>
  <c r="I77"/>
  <c r="D340"/>
  <c r="I30"/>
  <c r="I14"/>
  <c r="D314"/>
  <c r="D16"/>
  <c r="F148"/>
  <c r="D341"/>
  <c r="D190"/>
  <c r="E184"/>
  <c r="D75"/>
  <c r="D77" s="1"/>
  <c r="F19"/>
  <c r="G128"/>
  <c r="H14"/>
  <c r="H77"/>
  <c r="H361"/>
  <c r="D14"/>
  <c r="E148"/>
  <c r="E16"/>
  <c r="E26"/>
  <c r="D34"/>
  <c r="G38"/>
  <c r="E15"/>
  <c r="G193"/>
  <c r="F184"/>
  <c r="D19" l="1"/>
  <c r="H184"/>
  <c r="D27"/>
  <c r="F30"/>
  <c r="D180"/>
  <c r="H18"/>
  <c r="G17"/>
  <c r="G21" s="1"/>
  <c r="D181"/>
  <c r="D184" s="1"/>
  <c r="H21"/>
  <c r="I21"/>
  <c r="D342"/>
  <c r="E17"/>
  <c r="E21" s="1"/>
  <c r="E30"/>
  <c r="D193"/>
  <c r="D26"/>
  <c r="D38"/>
  <c r="D18" l="1"/>
  <c r="D17"/>
  <c r="D21" s="1"/>
  <c r="D30"/>
</calcChain>
</file>

<file path=xl/sharedStrings.xml><?xml version="1.0" encoding="utf-8"?>
<sst xmlns="http://schemas.openxmlformats.org/spreadsheetml/2006/main" count="211" uniqueCount="101">
  <si>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</si>
  <si>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</si>
  <si>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</si>
  <si>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</si>
  <si>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</si>
  <si>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</si>
  <si>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</si>
  <si>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</si>
  <si>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</si>
  <si>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</si>
  <si>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</si>
  <si>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</si>
  <si>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</si>
  <si>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</si>
  <si>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</si>
  <si>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</si>
  <si>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</si>
  <si>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</si>
  <si>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</si>
  <si>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</si>
  <si>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</si>
  <si>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</si>
  <si>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</si>
  <si>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</si>
  <si>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</si>
  <si>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</si>
  <si>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</si>
  <si>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</si>
  <si>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</si>
  <si>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</si>
  <si>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</si>
  <si>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</si>
  <si>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</si>
  <si>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</si>
  <si>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</si>
  <si>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</si>
  <si>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</si>
  <si>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</si>
  <si>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</si>
  <si>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</si>
  <si>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</si>
  <si>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</si>
  <si>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</si>
  <si>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</si>
  <si>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</si>
  <si>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</si>
  <si>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</si>
  <si>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</si>
  <si>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</si>
  <si>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</si>
  <si>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</si>
  <si>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</si>
  <si>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</si>
  <si>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</si>
  <si>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</si>
  <si>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</si>
  <si>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</si>
  <si>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</si>
  <si>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</si>
  <si>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</si>
  <si>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</si>
  <si>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</si>
  <si>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</si>
  <si>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</si>
  <si>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</si>
  <si>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</si>
  <si>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</si>
  <si>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</si>
  <si>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</si>
  <si>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</si>
  <si>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</si>
  <si>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</si>
  <si>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</si>
  <si>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</si>
  <si>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</si>
  <si>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</si>
  <si>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</si>
  <si>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</si>
  <si>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Региональные проекты /Федеральные проекты, входящие в состав национальных проектов до 31.12.2023 г.</t>
  </si>
  <si>
    <t>Региональный проект "Формирование комфортной городской среды" /Федеральный проект "Формирование комфортной городской среды"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</si>
  <si>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</si>
  <si>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</si>
  <si>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 xml:space="preserve">Дополнительные расходы на 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</t>
  </si>
  <si>
    <t xml:space="preserve">Мероприятия по решению отдельных вопросов местного значения в целях соблюдения доли софинансирования расходных обязательств поселения </t>
  </si>
  <si>
    <t>Мероприятия по капитальному ремонту и ремонту объектов, находящихся в муниципальной собственности</t>
  </si>
  <si>
    <t>Прочие мероприятия в области водоснабжения и водоотведения на территории Кингисеппского городского поселения</t>
  </si>
  <si>
    <t xml:space="preserve"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центр"; Комитет по безопасности администрации МО "Кингисеппский муниципальный район" </t>
  </si>
  <si>
    <t>Создание комфортной городской среды в малых городах и исторических поселениях -  победителях Всероссийского конкурса лучших проектов создания комфортной городской среды (г. Кингисепп)</t>
  </si>
  <si>
    <t>Региональный проект "Жилье"</t>
  </si>
  <si>
    <t>Обеспечение устойчивого сокращения непригодного для проживания жилищного фонда</t>
  </si>
  <si>
    <t>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</si>
  <si>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Обеспечение устойчивого сокращения непригодного для проживания жилищного фонда (за счет средств публично-правовой компании "Фонд развития территорий")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</si>
  <si>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(г. Кингисепп)</t>
  </si>
  <si>
    <t>Осуществление части полномочий по организации ритуальных услуг в части создания специализированной службы по вопросам похоронного дела</t>
  </si>
  <si>
    <t>Мероприятия, направленные на содействие развитию жилищно-коммунального хозяйства</t>
  </si>
  <si>
    <t>Муниципальный проект "Создание детских научных игровых площадок"</t>
  </si>
  <si>
    <t>(в редакции постановления администрации</t>
  </si>
  <si>
    <t>МО "Кингисеппский муниципальный район"</t>
  </si>
  <si>
    <t>Комплекс процессных мероприятий «Прочие мероприятия в области жилищно-коммунального хозяйства на территории Кингисеппского городского поселения»</t>
  </si>
  <si>
    <t>(Приложение № 2)</t>
  </si>
  <si>
    <t>от 23.03.2026 № 1082)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</si>
</sst>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  <numFmt numFmtId="168" formatCode="#,##0.0"/>
  </numFmts>
  <fonts count="1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4" fontId="5" fillId="0" borderId="0" xfId="4" applyNumberFormat="1" applyFont="1" applyFill="1"/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4" fontId="2" fillId="0" borderId="0" xfId="4" applyNumberFormat="1" applyFont="1" applyFill="1"/>
    <xf numFmtId="0" fontId="7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top" wrapText="1"/>
    </xf>
    <xf numFmtId="4" fontId="5" fillId="0" borderId="0" xfId="4" applyNumberFormat="1" applyFont="1" applyFill="1" applyBorder="1"/>
    <xf numFmtId="4" fontId="7" fillId="0" borderId="0" xfId="4" applyNumberFormat="1" applyFont="1" applyFill="1"/>
    <xf numFmtId="4" fontId="5" fillId="0" borderId="0" xfId="4" applyNumberFormat="1" applyFont="1" applyFill="1" applyAlignment="1">
      <alignment wrapText="1"/>
    </xf>
    <xf numFmtId="4" fontId="6" fillId="0" borderId="0" xfId="4" applyNumberFormat="1" applyFont="1" applyFill="1" applyBorder="1" applyAlignment="1">
      <alignment horizontal="center" vertical="center" wrapText="1"/>
    </xf>
    <xf numFmtId="4" fontId="6" fillId="0" borderId="0" xfId="6" applyNumberFormat="1" applyFont="1" applyFill="1" applyBorder="1" applyAlignment="1">
      <alignment horizontal="center" vertical="center" wrapText="1"/>
    </xf>
    <xf numFmtId="4" fontId="2" fillId="0" borderId="0" xfId="6" applyNumberFormat="1" applyFont="1" applyFill="1" applyBorder="1" applyAlignment="1">
      <alignment horizontal="center" vertical="center" wrapText="1"/>
    </xf>
    <xf numFmtId="4" fontId="6" fillId="0" borderId="0" xfId="4" applyNumberFormat="1" applyFont="1" applyFill="1" applyBorder="1" applyAlignment="1">
      <alignment horizontal="left" vertical="center"/>
    </xf>
    <xf numFmtId="4" fontId="6" fillId="0" borderId="0" xfId="4" applyNumberFormat="1" applyFont="1" applyFill="1" applyBorder="1" applyAlignment="1">
      <alignment horizontal="left" vertical="center" wrapText="1"/>
    </xf>
    <xf numFmtId="4" fontId="2" fillId="0" borderId="0" xfId="4" applyNumberFormat="1" applyFont="1" applyFill="1" applyAlignment="1">
      <alignment horizontal="center" vertical="center"/>
    </xf>
    <xf numFmtId="0" fontId="2" fillId="0" borderId="0" xfId="4" applyFont="1" applyFill="1"/>
    <xf numFmtId="4" fontId="2" fillId="0" borderId="0" xfId="4" applyNumberFormat="1" applyFont="1" applyFill="1" applyAlignment="1">
      <alignment vertical="center"/>
    </xf>
    <xf numFmtId="4" fontId="12" fillId="0" borderId="0" xfId="4" applyNumberFormat="1" applyFont="1" applyFill="1"/>
    <xf numFmtId="4" fontId="5" fillId="0" borderId="0" xfId="4" applyNumberFormat="1" applyFont="1" applyFill="1" applyAlignment="1">
      <alignment horizontal="center"/>
    </xf>
    <xf numFmtId="4" fontId="2" fillId="0" borderId="0" xfId="4" applyNumberFormat="1" applyFont="1" applyFill="1" applyAlignment="1">
      <alignment horizontal="center"/>
    </xf>
    <xf numFmtId="4" fontId="7" fillId="0" borderId="0" xfId="4" applyNumberFormat="1" applyFont="1" applyFill="1" applyAlignment="1">
      <alignment vertical="center"/>
    </xf>
    <xf numFmtId="4" fontId="5" fillId="0" borderId="0" xfId="4" applyNumberFormat="1" applyFont="1" applyFill="1" applyAlignment="1">
      <alignment horizontal="center" vertical="center"/>
    </xf>
    <xf numFmtId="4" fontId="7" fillId="0" borderId="0" xfId="4" applyNumberFormat="1" applyFont="1" applyFill="1" applyAlignment="1">
      <alignment horizontal="center" vertical="center"/>
    </xf>
    <xf numFmtId="4" fontId="7" fillId="0" borderId="0" xfId="4" applyNumberFormat="1" applyFont="1" applyFill="1" applyAlignment="1">
      <alignment horizontal="center"/>
    </xf>
    <xf numFmtId="4" fontId="5" fillId="0" borderId="0" xfId="4" applyNumberFormat="1" applyFont="1" applyFill="1" applyAlignment="1">
      <alignment horizontal="center" vertical="center" wrapText="1"/>
    </xf>
    <xf numFmtId="4" fontId="7" fillId="0" borderId="0" xfId="6" applyNumberFormat="1" applyFont="1" applyFill="1" applyBorder="1" applyAlignment="1">
      <alignment horizontal="center" vertical="center" wrapText="1"/>
    </xf>
    <xf numFmtId="0" fontId="11" fillId="0" borderId="0" xfId="4" applyFont="1" applyFill="1" applyAlignment="1"/>
    <xf numFmtId="168" fontId="6" fillId="0" borderId="2" xfId="6" applyNumberFormat="1" applyFont="1" applyFill="1" applyBorder="1" applyAlignment="1">
      <alignment horizontal="center" vertical="center" wrapText="1"/>
    </xf>
    <xf numFmtId="4" fontId="13" fillId="0" borderId="0" xfId="4" applyNumberFormat="1" applyFont="1" applyFill="1"/>
    <xf numFmtId="0" fontId="13" fillId="0" borderId="0" xfId="4" applyFont="1" applyFill="1"/>
    <xf numFmtId="4" fontId="13" fillId="0" borderId="0" xfId="4" applyNumberFormat="1" applyFont="1" applyFill="1" applyAlignment="1">
      <alignment horizontal="center"/>
    </xf>
    <xf numFmtId="0" fontId="14" fillId="0" borderId="0" xfId="4" applyFont="1" applyFill="1"/>
    <xf numFmtId="4" fontId="14" fillId="0" borderId="0" xfId="4" applyNumberFormat="1" applyFont="1" applyFill="1"/>
    <xf numFmtId="4" fontId="2" fillId="0" borderId="0" xfId="6" applyNumberFormat="1" applyFont="1" applyFill="1" applyBorder="1" applyAlignment="1">
      <alignment horizontal="left" vertical="center"/>
    </xf>
    <xf numFmtId="0" fontId="11" fillId="0" borderId="0" xfId="4" applyFont="1" applyFill="1" applyAlignment="1">
      <alignment horizontal="right"/>
    </xf>
    <xf numFmtId="4" fontId="2" fillId="0" borderId="0" xfId="4" applyNumberFormat="1" applyFont="1" applyFill="1" applyAlignment="1">
      <alignment horizontal="left"/>
    </xf>
    <xf numFmtId="4" fontId="2" fillId="0" borderId="0" xfId="5" applyNumberFormat="1" applyFont="1" applyFill="1" applyAlignment="1" applyProtection="1">
      <alignment horizontal="left"/>
    </xf>
    <xf numFmtId="4" fontId="11" fillId="0" borderId="0" xfId="4" applyNumberFormat="1" applyFont="1" applyFill="1" applyAlignment="1">
      <alignment horizontal="left"/>
    </xf>
    <xf numFmtId="4" fontId="6" fillId="0" borderId="0" xfId="4" applyNumberFormat="1" applyFont="1" applyFill="1" applyAlignment="1">
      <alignment horizontal="left"/>
    </xf>
    <xf numFmtId="4" fontId="6" fillId="0" borderId="0" xfId="4" applyNumberFormat="1" applyFont="1" applyFill="1" applyBorder="1" applyAlignment="1">
      <alignment horizontal="left" wrapText="1"/>
    </xf>
    <xf numFmtId="4" fontId="2" fillId="0" borderId="0" xfId="4" applyNumberFormat="1" applyFont="1" applyFill="1" applyBorder="1" applyAlignment="1">
      <alignment horizontal="left" vertical="top" wrapText="1"/>
    </xf>
    <xf numFmtId="4" fontId="6" fillId="0" borderId="0" xfId="6" applyNumberFormat="1" applyFont="1" applyFill="1" applyBorder="1" applyAlignment="1">
      <alignment horizontal="left" vertical="center" wrapText="1"/>
    </xf>
    <xf numFmtId="4" fontId="6" fillId="0" borderId="0" xfId="6" applyNumberFormat="1" applyFont="1" applyFill="1" applyBorder="1" applyAlignment="1">
      <alignment horizontal="left" vertical="top" wrapText="1"/>
    </xf>
    <xf numFmtId="4" fontId="2" fillId="0" borderId="0" xfId="6" applyNumberFormat="1" applyFont="1" applyFill="1" applyBorder="1" applyAlignment="1">
      <alignment horizontal="left" vertical="center" wrapText="1"/>
    </xf>
    <xf numFmtId="4" fontId="2" fillId="0" borderId="0" xfId="4" applyNumberFormat="1" applyFont="1" applyFill="1" applyAlignment="1">
      <alignment horizontal="left" vertical="center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5" fillId="0" borderId="0" xfId="4" applyFont="1" applyFill="1" applyAlignment="1">
      <alignment horizontal="right"/>
    </xf>
    <xf numFmtId="4" fontId="5" fillId="0" borderId="0" xfId="4" applyNumberFormat="1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0" borderId="7" xfId="4" applyFont="1" applyFill="1" applyBorder="1" applyAlignment="1">
      <alignment horizontal="center" vertical="top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2" fillId="0" borderId="3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10" fillId="0" borderId="2" xfId="4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right"/>
    </xf>
    <xf numFmtId="0" fontId="5" fillId="0" borderId="0" xfId="5" applyFont="1" applyFill="1" applyAlignment="1" applyProtection="1">
      <alignment horizontal="right"/>
    </xf>
    <xf numFmtId="0" fontId="11" fillId="0" borderId="0" xfId="4" applyFont="1" applyFill="1" applyAlignment="1">
      <alignment horizontal="center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S426"/>
  <sheetViews>
    <sheetView tabSelected="1" view="pageBreakPreview" zoomScale="90" zoomScaleNormal="90" zoomScaleSheetLayoutView="90" workbookViewId="0">
      <selection activeCell="G7" sqref="G7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10" width="20.42578125" style="61" customWidth="1"/>
    <col min="11" max="11" width="17.28515625" style="6" customWidth="1"/>
    <col min="12" max="12" width="25.140625" style="6" customWidth="1"/>
    <col min="13" max="13" width="19.140625" style="6" customWidth="1"/>
    <col min="14" max="14" width="23" style="6" customWidth="1"/>
    <col min="15" max="227" width="9.140625" style="5"/>
    <col min="228" max="228" width="38.5703125" style="5" customWidth="1"/>
    <col min="229" max="229" width="40.140625" style="5" customWidth="1"/>
    <col min="230" max="236" width="14.7109375" style="5" customWidth="1"/>
    <col min="237" max="237" width="17.140625" style="5" customWidth="1"/>
    <col min="238" max="483" width="9.140625" style="5"/>
    <col min="484" max="484" width="38.5703125" style="5" customWidth="1"/>
    <col min="485" max="485" width="40.140625" style="5" customWidth="1"/>
    <col min="486" max="492" width="14.7109375" style="5" customWidth="1"/>
    <col min="493" max="493" width="17.140625" style="5" customWidth="1"/>
    <col min="494" max="739" width="9.140625" style="5"/>
    <col min="740" max="740" width="38.5703125" style="5" customWidth="1"/>
    <col min="741" max="741" width="40.140625" style="5" customWidth="1"/>
    <col min="742" max="748" width="14.7109375" style="5" customWidth="1"/>
    <col min="749" max="749" width="17.140625" style="5" customWidth="1"/>
    <col min="750" max="995" width="9.140625" style="5"/>
    <col min="996" max="996" width="38.5703125" style="5" customWidth="1"/>
    <col min="997" max="997" width="40.140625" style="5" customWidth="1"/>
    <col min="998" max="1004" width="14.7109375" style="5" customWidth="1"/>
    <col min="1005" max="1005" width="17.140625" style="5" customWidth="1"/>
    <col min="1006" max="1251" width="9.140625" style="5"/>
    <col min="1252" max="1252" width="38.5703125" style="5" customWidth="1"/>
    <col min="1253" max="1253" width="40.140625" style="5" customWidth="1"/>
    <col min="1254" max="1260" width="14.7109375" style="5" customWidth="1"/>
    <col min="1261" max="1261" width="17.140625" style="5" customWidth="1"/>
    <col min="1262" max="1507" width="9.140625" style="5"/>
    <col min="1508" max="1508" width="38.5703125" style="5" customWidth="1"/>
    <col min="1509" max="1509" width="40.140625" style="5" customWidth="1"/>
    <col min="1510" max="1516" width="14.7109375" style="5" customWidth="1"/>
    <col min="1517" max="1517" width="17.140625" style="5" customWidth="1"/>
    <col min="1518" max="1763" width="9.140625" style="5"/>
    <col min="1764" max="1764" width="38.5703125" style="5" customWidth="1"/>
    <col min="1765" max="1765" width="40.140625" style="5" customWidth="1"/>
    <col min="1766" max="1772" width="14.7109375" style="5" customWidth="1"/>
    <col min="1773" max="1773" width="17.140625" style="5" customWidth="1"/>
    <col min="1774" max="2019" width="9.140625" style="5"/>
    <col min="2020" max="2020" width="38.5703125" style="5" customWidth="1"/>
    <col min="2021" max="2021" width="40.140625" style="5" customWidth="1"/>
    <col min="2022" max="2028" width="14.7109375" style="5" customWidth="1"/>
    <col min="2029" max="2029" width="17.140625" style="5" customWidth="1"/>
    <col min="2030" max="2275" width="9.140625" style="5"/>
    <col min="2276" max="2276" width="38.5703125" style="5" customWidth="1"/>
    <col min="2277" max="2277" width="40.140625" style="5" customWidth="1"/>
    <col min="2278" max="2284" width="14.7109375" style="5" customWidth="1"/>
    <col min="2285" max="2285" width="17.140625" style="5" customWidth="1"/>
    <col min="2286" max="2531" width="9.140625" style="5"/>
    <col min="2532" max="2532" width="38.5703125" style="5" customWidth="1"/>
    <col min="2533" max="2533" width="40.140625" style="5" customWidth="1"/>
    <col min="2534" max="2540" width="14.7109375" style="5" customWidth="1"/>
    <col min="2541" max="2541" width="17.140625" style="5" customWidth="1"/>
    <col min="2542" max="2787" width="9.140625" style="5"/>
    <col min="2788" max="2788" width="38.5703125" style="5" customWidth="1"/>
    <col min="2789" max="2789" width="40.140625" style="5" customWidth="1"/>
    <col min="2790" max="2796" width="14.7109375" style="5" customWidth="1"/>
    <col min="2797" max="2797" width="17.140625" style="5" customWidth="1"/>
    <col min="2798" max="3043" width="9.140625" style="5"/>
    <col min="3044" max="3044" width="38.5703125" style="5" customWidth="1"/>
    <col min="3045" max="3045" width="40.140625" style="5" customWidth="1"/>
    <col min="3046" max="3052" width="14.7109375" style="5" customWidth="1"/>
    <col min="3053" max="3053" width="17.140625" style="5" customWidth="1"/>
    <col min="3054" max="3299" width="9.140625" style="5"/>
    <col min="3300" max="3300" width="38.5703125" style="5" customWidth="1"/>
    <col min="3301" max="3301" width="40.140625" style="5" customWidth="1"/>
    <col min="3302" max="3308" width="14.7109375" style="5" customWidth="1"/>
    <col min="3309" max="3309" width="17.140625" style="5" customWidth="1"/>
    <col min="3310" max="3555" width="9.140625" style="5"/>
    <col min="3556" max="3556" width="38.5703125" style="5" customWidth="1"/>
    <col min="3557" max="3557" width="40.140625" style="5" customWidth="1"/>
    <col min="3558" max="3564" width="14.7109375" style="5" customWidth="1"/>
    <col min="3565" max="3565" width="17.140625" style="5" customWidth="1"/>
    <col min="3566" max="3811" width="9.140625" style="5"/>
    <col min="3812" max="3812" width="38.5703125" style="5" customWidth="1"/>
    <col min="3813" max="3813" width="40.140625" style="5" customWidth="1"/>
    <col min="3814" max="3820" width="14.7109375" style="5" customWidth="1"/>
    <col min="3821" max="3821" width="17.140625" style="5" customWidth="1"/>
    <col min="3822" max="4067" width="9.140625" style="5"/>
    <col min="4068" max="4068" width="38.5703125" style="5" customWidth="1"/>
    <col min="4069" max="4069" width="40.140625" style="5" customWidth="1"/>
    <col min="4070" max="4076" width="14.7109375" style="5" customWidth="1"/>
    <col min="4077" max="4077" width="17.140625" style="5" customWidth="1"/>
    <col min="4078" max="4323" width="9.140625" style="5"/>
    <col min="4324" max="4324" width="38.5703125" style="5" customWidth="1"/>
    <col min="4325" max="4325" width="40.140625" style="5" customWidth="1"/>
    <col min="4326" max="4332" width="14.7109375" style="5" customWidth="1"/>
    <col min="4333" max="4333" width="17.140625" style="5" customWidth="1"/>
    <col min="4334" max="4579" width="9.140625" style="5"/>
    <col min="4580" max="4580" width="38.5703125" style="5" customWidth="1"/>
    <col min="4581" max="4581" width="40.140625" style="5" customWidth="1"/>
    <col min="4582" max="4588" width="14.7109375" style="5" customWidth="1"/>
    <col min="4589" max="4589" width="17.140625" style="5" customWidth="1"/>
    <col min="4590" max="4835" width="9.140625" style="5"/>
    <col min="4836" max="4836" width="38.5703125" style="5" customWidth="1"/>
    <col min="4837" max="4837" width="40.140625" style="5" customWidth="1"/>
    <col min="4838" max="4844" width="14.7109375" style="5" customWidth="1"/>
    <col min="4845" max="4845" width="17.140625" style="5" customWidth="1"/>
    <col min="4846" max="5091" width="9.140625" style="5"/>
    <col min="5092" max="5092" width="38.5703125" style="5" customWidth="1"/>
    <col min="5093" max="5093" width="40.140625" style="5" customWidth="1"/>
    <col min="5094" max="5100" width="14.7109375" style="5" customWidth="1"/>
    <col min="5101" max="5101" width="17.140625" style="5" customWidth="1"/>
    <col min="5102" max="5347" width="9.140625" style="5"/>
    <col min="5348" max="5348" width="38.5703125" style="5" customWidth="1"/>
    <col min="5349" max="5349" width="40.140625" style="5" customWidth="1"/>
    <col min="5350" max="5356" width="14.7109375" style="5" customWidth="1"/>
    <col min="5357" max="5357" width="17.140625" style="5" customWidth="1"/>
    <col min="5358" max="5603" width="9.140625" style="5"/>
    <col min="5604" max="5604" width="38.5703125" style="5" customWidth="1"/>
    <col min="5605" max="5605" width="40.140625" style="5" customWidth="1"/>
    <col min="5606" max="5612" width="14.7109375" style="5" customWidth="1"/>
    <col min="5613" max="5613" width="17.140625" style="5" customWidth="1"/>
    <col min="5614" max="5859" width="9.140625" style="5"/>
    <col min="5860" max="5860" width="38.5703125" style="5" customWidth="1"/>
    <col min="5861" max="5861" width="40.140625" style="5" customWidth="1"/>
    <col min="5862" max="5868" width="14.7109375" style="5" customWidth="1"/>
    <col min="5869" max="5869" width="17.140625" style="5" customWidth="1"/>
    <col min="5870" max="6115" width="9.140625" style="5"/>
    <col min="6116" max="6116" width="38.5703125" style="5" customWidth="1"/>
    <col min="6117" max="6117" width="40.140625" style="5" customWidth="1"/>
    <col min="6118" max="6124" width="14.7109375" style="5" customWidth="1"/>
    <col min="6125" max="6125" width="17.140625" style="5" customWidth="1"/>
    <col min="6126" max="6371" width="9.140625" style="5"/>
    <col min="6372" max="6372" width="38.5703125" style="5" customWidth="1"/>
    <col min="6373" max="6373" width="40.140625" style="5" customWidth="1"/>
    <col min="6374" max="6380" width="14.7109375" style="5" customWidth="1"/>
    <col min="6381" max="6381" width="17.140625" style="5" customWidth="1"/>
    <col min="6382" max="6627" width="9.140625" style="5"/>
    <col min="6628" max="6628" width="38.5703125" style="5" customWidth="1"/>
    <col min="6629" max="6629" width="40.140625" style="5" customWidth="1"/>
    <col min="6630" max="6636" width="14.7109375" style="5" customWidth="1"/>
    <col min="6637" max="6637" width="17.140625" style="5" customWidth="1"/>
    <col min="6638" max="6883" width="9.140625" style="5"/>
    <col min="6884" max="6884" width="38.5703125" style="5" customWidth="1"/>
    <col min="6885" max="6885" width="40.140625" style="5" customWidth="1"/>
    <col min="6886" max="6892" width="14.7109375" style="5" customWidth="1"/>
    <col min="6893" max="6893" width="17.140625" style="5" customWidth="1"/>
    <col min="6894" max="7139" width="9.140625" style="5"/>
    <col min="7140" max="7140" width="38.5703125" style="5" customWidth="1"/>
    <col min="7141" max="7141" width="40.140625" style="5" customWidth="1"/>
    <col min="7142" max="7148" width="14.7109375" style="5" customWidth="1"/>
    <col min="7149" max="7149" width="17.140625" style="5" customWidth="1"/>
    <col min="7150" max="7395" width="9.140625" style="5"/>
    <col min="7396" max="7396" width="38.5703125" style="5" customWidth="1"/>
    <col min="7397" max="7397" width="40.140625" style="5" customWidth="1"/>
    <col min="7398" max="7404" width="14.7109375" style="5" customWidth="1"/>
    <col min="7405" max="7405" width="17.140625" style="5" customWidth="1"/>
    <col min="7406" max="7651" width="9.140625" style="5"/>
    <col min="7652" max="7652" width="38.5703125" style="5" customWidth="1"/>
    <col min="7653" max="7653" width="40.140625" style="5" customWidth="1"/>
    <col min="7654" max="7660" width="14.7109375" style="5" customWidth="1"/>
    <col min="7661" max="7661" width="17.140625" style="5" customWidth="1"/>
    <col min="7662" max="7907" width="9.140625" style="5"/>
    <col min="7908" max="7908" width="38.5703125" style="5" customWidth="1"/>
    <col min="7909" max="7909" width="40.140625" style="5" customWidth="1"/>
    <col min="7910" max="7916" width="14.7109375" style="5" customWidth="1"/>
    <col min="7917" max="7917" width="17.140625" style="5" customWidth="1"/>
    <col min="7918" max="8163" width="9.140625" style="5"/>
    <col min="8164" max="8164" width="38.5703125" style="5" customWidth="1"/>
    <col min="8165" max="8165" width="40.140625" style="5" customWidth="1"/>
    <col min="8166" max="8172" width="14.7109375" style="5" customWidth="1"/>
    <col min="8173" max="8173" width="17.140625" style="5" customWidth="1"/>
    <col min="8174" max="8419" width="9.140625" style="5"/>
    <col min="8420" max="8420" width="38.5703125" style="5" customWidth="1"/>
    <col min="8421" max="8421" width="40.140625" style="5" customWidth="1"/>
    <col min="8422" max="8428" width="14.7109375" style="5" customWidth="1"/>
    <col min="8429" max="8429" width="17.140625" style="5" customWidth="1"/>
    <col min="8430" max="8675" width="9.140625" style="5"/>
    <col min="8676" max="8676" width="38.5703125" style="5" customWidth="1"/>
    <col min="8677" max="8677" width="40.140625" style="5" customWidth="1"/>
    <col min="8678" max="8684" width="14.7109375" style="5" customWidth="1"/>
    <col min="8685" max="8685" width="17.140625" style="5" customWidth="1"/>
    <col min="8686" max="8931" width="9.140625" style="5"/>
    <col min="8932" max="8932" width="38.5703125" style="5" customWidth="1"/>
    <col min="8933" max="8933" width="40.140625" style="5" customWidth="1"/>
    <col min="8934" max="8940" width="14.7109375" style="5" customWidth="1"/>
    <col min="8941" max="8941" width="17.140625" style="5" customWidth="1"/>
    <col min="8942" max="9187" width="9.140625" style="5"/>
    <col min="9188" max="9188" width="38.5703125" style="5" customWidth="1"/>
    <col min="9189" max="9189" width="40.140625" style="5" customWidth="1"/>
    <col min="9190" max="9196" width="14.7109375" style="5" customWidth="1"/>
    <col min="9197" max="9197" width="17.140625" style="5" customWidth="1"/>
    <col min="9198" max="9443" width="9.140625" style="5"/>
    <col min="9444" max="9444" width="38.5703125" style="5" customWidth="1"/>
    <col min="9445" max="9445" width="40.140625" style="5" customWidth="1"/>
    <col min="9446" max="9452" width="14.7109375" style="5" customWidth="1"/>
    <col min="9453" max="9453" width="17.140625" style="5" customWidth="1"/>
    <col min="9454" max="9699" width="9.140625" style="5"/>
    <col min="9700" max="9700" width="38.5703125" style="5" customWidth="1"/>
    <col min="9701" max="9701" width="40.140625" style="5" customWidth="1"/>
    <col min="9702" max="9708" width="14.7109375" style="5" customWidth="1"/>
    <col min="9709" max="9709" width="17.140625" style="5" customWidth="1"/>
    <col min="9710" max="9955" width="9.140625" style="5"/>
    <col min="9956" max="9956" width="38.5703125" style="5" customWidth="1"/>
    <col min="9957" max="9957" width="40.140625" style="5" customWidth="1"/>
    <col min="9958" max="9964" width="14.7109375" style="5" customWidth="1"/>
    <col min="9965" max="9965" width="17.140625" style="5" customWidth="1"/>
    <col min="9966" max="10211" width="9.140625" style="5"/>
    <col min="10212" max="10212" width="38.5703125" style="5" customWidth="1"/>
    <col min="10213" max="10213" width="40.140625" style="5" customWidth="1"/>
    <col min="10214" max="10220" width="14.7109375" style="5" customWidth="1"/>
    <col min="10221" max="10221" width="17.140625" style="5" customWidth="1"/>
    <col min="10222" max="10467" width="9.140625" style="5"/>
    <col min="10468" max="10468" width="38.5703125" style="5" customWidth="1"/>
    <col min="10469" max="10469" width="40.140625" style="5" customWidth="1"/>
    <col min="10470" max="10476" width="14.7109375" style="5" customWidth="1"/>
    <col min="10477" max="10477" width="17.140625" style="5" customWidth="1"/>
    <col min="10478" max="10723" width="9.140625" style="5"/>
    <col min="10724" max="10724" width="38.5703125" style="5" customWidth="1"/>
    <col min="10725" max="10725" width="40.140625" style="5" customWidth="1"/>
    <col min="10726" max="10732" width="14.7109375" style="5" customWidth="1"/>
    <col min="10733" max="10733" width="17.140625" style="5" customWidth="1"/>
    <col min="10734" max="10979" width="9.140625" style="5"/>
    <col min="10980" max="10980" width="38.5703125" style="5" customWidth="1"/>
    <col min="10981" max="10981" width="40.140625" style="5" customWidth="1"/>
    <col min="10982" max="10988" width="14.7109375" style="5" customWidth="1"/>
    <col min="10989" max="10989" width="17.140625" style="5" customWidth="1"/>
    <col min="10990" max="11235" width="9.140625" style="5"/>
    <col min="11236" max="11236" width="38.5703125" style="5" customWidth="1"/>
    <col min="11237" max="11237" width="40.140625" style="5" customWidth="1"/>
    <col min="11238" max="11244" width="14.7109375" style="5" customWidth="1"/>
    <col min="11245" max="11245" width="17.140625" style="5" customWidth="1"/>
    <col min="11246" max="11491" width="9.140625" style="5"/>
    <col min="11492" max="11492" width="38.5703125" style="5" customWidth="1"/>
    <col min="11493" max="11493" width="40.140625" style="5" customWidth="1"/>
    <col min="11494" max="11500" width="14.7109375" style="5" customWidth="1"/>
    <col min="11501" max="11501" width="17.140625" style="5" customWidth="1"/>
    <col min="11502" max="11747" width="9.140625" style="5"/>
    <col min="11748" max="11748" width="38.5703125" style="5" customWidth="1"/>
    <col min="11749" max="11749" width="40.140625" style="5" customWidth="1"/>
    <col min="11750" max="11756" width="14.7109375" style="5" customWidth="1"/>
    <col min="11757" max="11757" width="17.140625" style="5" customWidth="1"/>
    <col min="11758" max="12003" width="9.140625" style="5"/>
    <col min="12004" max="12004" width="38.5703125" style="5" customWidth="1"/>
    <col min="12005" max="12005" width="40.140625" style="5" customWidth="1"/>
    <col min="12006" max="12012" width="14.7109375" style="5" customWidth="1"/>
    <col min="12013" max="12013" width="17.140625" style="5" customWidth="1"/>
    <col min="12014" max="12259" width="9.140625" style="5"/>
    <col min="12260" max="12260" width="38.5703125" style="5" customWidth="1"/>
    <col min="12261" max="12261" width="40.140625" style="5" customWidth="1"/>
    <col min="12262" max="12268" width="14.7109375" style="5" customWidth="1"/>
    <col min="12269" max="12269" width="17.140625" style="5" customWidth="1"/>
    <col min="12270" max="12515" width="9.140625" style="5"/>
    <col min="12516" max="12516" width="38.5703125" style="5" customWidth="1"/>
    <col min="12517" max="12517" width="40.140625" style="5" customWidth="1"/>
    <col min="12518" max="12524" width="14.7109375" style="5" customWidth="1"/>
    <col min="12525" max="12525" width="17.140625" style="5" customWidth="1"/>
    <col min="12526" max="12771" width="9.140625" style="5"/>
    <col min="12772" max="12772" width="38.5703125" style="5" customWidth="1"/>
    <col min="12773" max="12773" width="40.140625" style="5" customWidth="1"/>
    <col min="12774" max="12780" width="14.7109375" style="5" customWidth="1"/>
    <col min="12781" max="12781" width="17.140625" style="5" customWidth="1"/>
    <col min="12782" max="13027" width="9.140625" style="5"/>
    <col min="13028" max="13028" width="38.5703125" style="5" customWidth="1"/>
    <col min="13029" max="13029" width="40.140625" style="5" customWidth="1"/>
    <col min="13030" max="13036" width="14.7109375" style="5" customWidth="1"/>
    <col min="13037" max="13037" width="17.140625" style="5" customWidth="1"/>
    <col min="13038" max="13283" width="9.140625" style="5"/>
    <col min="13284" max="13284" width="38.5703125" style="5" customWidth="1"/>
    <col min="13285" max="13285" width="40.140625" style="5" customWidth="1"/>
    <col min="13286" max="13292" width="14.7109375" style="5" customWidth="1"/>
    <col min="13293" max="13293" width="17.140625" style="5" customWidth="1"/>
    <col min="13294" max="13539" width="9.140625" style="5"/>
    <col min="13540" max="13540" width="38.5703125" style="5" customWidth="1"/>
    <col min="13541" max="13541" width="40.140625" style="5" customWidth="1"/>
    <col min="13542" max="13548" width="14.7109375" style="5" customWidth="1"/>
    <col min="13549" max="13549" width="17.140625" style="5" customWidth="1"/>
    <col min="13550" max="13795" width="9.140625" style="5"/>
    <col min="13796" max="13796" width="38.5703125" style="5" customWidth="1"/>
    <col min="13797" max="13797" width="40.140625" style="5" customWidth="1"/>
    <col min="13798" max="13804" width="14.7109375" style="5" customWidth="1"/>
    <col min="13805" max="13805" width="17.140625" style="5" customWidth="1"/>
    <col min="13806" max="14051" width="9.140625" style="5"/>
    <col min="14052" max="14052" width="38.5703125" style="5" customWidth="1"/>
    <col min="14053" max="14053" width="40.140625" style="5" customWidth="1"/>
    <col min="14054" max="14060" width="14.7109375" style="5" customWidth="1"/>
    <col min="14061" max="14061" width="17.140625" style="5" customWidth="1"/>
    <col min="14062" max="14307" width="9.140625" style="5"/>
    <col min="14308" max="14308" width="38.5703125" style="5" customWidth="1"/>
    <col min="14309" max="14309" width="40.140625" style="5" customWidth="1"/>
    <col min="14310" max="14316" width="14.7109375" style="5" customWidth="1"/>
    <col min="14317" max="14317" width="17.140625" style="5" customWidth="1"/>
    <col min="14318" max="14563" width="9.140625" style="5"/>
    <col min="14564" max="14564" width="38.5703125" style="5" customWidth="1"/>
    <col min="14565" max="14565" width="40.140625" style="5" customWidth="1"/>
    <col min="14566" max="14572" width="14.7109375" style="5" customWidth="1"/>
    <col min="14573" max="14573" width="17.140625" style="5" customWidth="1"/>
    <col min="14574" max="14819" width="9.140625" style="5"/>
    <col min="14820" max="14820" width="38.5703125" style="5" customWidth="1"/>
    <col min="14821" max="14821" width="40.140625" style="5" customWidth="1"/>
    <col min="14822" max="14828" width="14.7109375" style="5" customWidth="1"/>
    <col min="14829" max="14829" width="17.140625" style="5" customWidth="1"/>
    <col min="14830" max="15075" width="9.140625" style="5"/>
    <col min="15076" max="15076" width="38.5703125" style="5" customWidth="1"/>
    <col min="15077" max="15077" width="40.140625" style="5" customWidth="1"/>
    <col min="15078" max="15084" width="14.7109375" style="5" customWidth="1"/>
    <col min="15085" max="15085" width="17.140625" style="5" customWidth="1"/>
    <col min="15086" max="15331" width="9.140625" style="5"/>
    <col min="15332" max="15332" width="38.5703125" style="5" customWidth="1"/>
    <col min="15333" max="15333" width="40.140625" style="5" customWidth="1"/>
    <col min="15334" max="15340" width="14.7109375" style="5" customWidth="1"/>
    <col min="15341" max="15341" width="17.140625" style="5" customWidth="1"/>
    <col min="15342" max="15587" width="9.140625" style="5"/>
    <col min="15588" max="15588" width="38.5703125" style="5" customWidth="1"/>
    <col min="15589" max="15589" width="40.140625" style="5" customWidth="1"/>
    <col min="15590" max="15596" width="14.7109375" style="5" customWidth="1"/>
    <col min="15597" max="15597" width="17.140625" style="5" customWidth="1"/>
    <col min="15598" max="15843" width="9.140625" style="5"/>
    <col min="15844" max="15844" width="38.5703125" style="5" customWidth="1"/>
    <col min="15845" max="15845" width="40.140625" style="5" customWidth="1"/>
    <col min="15846" max="15852" width="14.7109375" style="5" customWidth="1"/>
    <col min="15853" max="15853" width="17.140625" style="5" customWidth="1"/>
    <col min="15854" max="16099" width="9.140625" style="5"/>
    <col min="16100" max="16100" width="38.5703125" style="5" customWidth="1"/>
    <col min="16101" max="16101" width="40.140625" style="5" customWidth="1"/>
    <col min="16102" max="16108" width="14.7109375" style="5" customWidth="1"/>
    <col min="16109" max="16109" width="17.140625" style="5" customWidth="1"/>
    <col min="16110" max="16384" width="9.140625" style="5"/>
  </cols>
  <sheetData>
    <row r="1" spans="1:227" ht="33" customHeight="1">
      <c r="G1" s="110" t="s">
        <v>1</v>
      </c>
      <c r="H1" s="110"/>
      <c r="I1" s="110"/>
    </row>
    <row r="2" spans="1:227">
      <c r="G2" s="111" t="s">
        <v>2</v>
      </c>
      <c r="H2" s="111"/>
      <c r="I2" s="111"/>
      <c r="J2" s="62"/>
    </row>
    <row r="3" spans="1:227">
      <c r="F3" s="52"/>
      <c r="G3" s="52" t="s">
        <v>96</v>
      </c>
      <c r="H3" s="52"/>
      <c r="I3" s="52"/>
      <c r="J3" s="63"/>
    </row>
    <row r="4" spans="1:227">
      <c r="F4" s="52"/>
      <c r="G4" s="52" t="s">
        <v>97</v>
      </c>
      <c r="H4" s="52"/>
      <c r="I4" s="52"/>
      <c r="J4" s="63"/>
    </row>
    <row r="5" spans="1:227">
      <c r="F5" s="60"/>
      <c r="G5" s="112" t="s">
        <v>100</v>
      </c>
      <c r="H5" s="112"/>
      <c r="I5" s="112"/>
      <c r="J5" s="63"/>
    </row>
    <row r="6" spans="1:227">
      <c r="F6" s="60"/>
      <c r="G6" s="112" t="s">
        <v>99</v>
      </c>
      <c r="H6" s="112"/>
      <c r="I6" s="112"/>
      <c r="J6" s="63"/>
    </row>
    <row r="7" spans="1:227" ht="58.5" customHeight="1"/>
    <row r="8" spans="1:227">
      <c r="B8" s="7"/>
      <c r="C8" s="7"/>
      <c r="D8" s="8" t="s">
        <v>3</v>
      </c>
      <c r="E8" s="7"/>
      <c r="F8" s="7"/>
      <c r="G8" s="7"/>
      <c r="H8" s="7"/>
      <c r="I8" s="7"/>
      <c r="J8" s="64"/>
    </row>
    <row r="9" spans="1:227">
      <c r="A9" s="9"/>
      <c r="B9" s="10"/>
      <c r="C9" s="10"/>
      <c r="D9" s="11" t="s">
        <v>4</v>
      </c>
      <c r="E9" s="10"/>
      <c r="F9" s="10"/>
      <c r="G9" s="10"/>
      <c r="H9" s="10"/>
      <c r="I9" s="10"/>
      <c r="J9" s="65"/>
      <c r="K9" s="32"/>
      <c r="L9" s="32"/>
      <c r="M9" s="32"/>
      <c r="N9" s="3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</row>
    <row r="10" spans="1:227">
      <c r="I10" s="74" t="s">
        <v>5</v>
      </c>
    </row>
    <row r="11" spans="1:227">
      <c r="A11" s="99" t="s">
        <v>6</v>
      </c>
      <c r="B11" s="83" t="s">
        <v>7</v>
      </c>
      <c r="C11" s="83" t="s">
        <v>8</v>
      </c>
      <c r="D11" s="83" t="s">
        <v>9</v>
      </c>
      <c r="E11" s="83"/>
      <c r="F11" s="83"/>
      <c r="G11" s="83"/>
      <c r="H11" s="83"/>
      <c r="I11" s="83"/>
      <c r="J11" s="39"/>
    </row>
    <row r="12" spans="1:227" ht="62.25" customHeight="1">
      <c r="A12" s="101"/>
      <c r="B12" s="83"/>
      <c r="C12" s="83"/>
      <c r="D12" s="30" t="s">
        <v>10</v>
      </c>
      <c r="E12" s="72" t="s">
        <v>11</v>
      </c>
      <c r="F12" s="72" t="s">
        <v>12</v>
      </c>
      <c r="G12" s="72" t="s">
        <v>13</v>
      </c>
      <c r="H12" s="72" t="s">
        <v>14</v>
      </c>
      <c r="I12" s="72" t="s">
        <v>15</v>
      </c>
      <c r="J12" s="39"/>
      <c r="K12" s="35"/>
      <c r="L12" s="35"/>
      <c r="M12" s="50"/>
    </row>
    <row r="13" spans="1:227">
      <c r="A13" s="71">
        <v>1</v>
      </c>
      <c r="B13" s="71">
        <v>2</v>
      </c>
      <c r="C13" s="71">
        <v>3</v>
      </c>
      <c r="D13" s="72">
        <v>4</v>
      </c>
      <c r="E13" s="31">
        <v>5</v>
      </c>
      <c r="F13" s="31">
        <v>6</v>
      </c>
      <c r="G13" s="31">
        <v>7</v>
      </c>
      <c r="H13" s="31">
        <v>8</v>
      </c>
      <c r="I13" s="31">
        <v>9</v>
      </c>
      <c r="J13" s="66"/>
    </row>
    <row r="14" spans="1:227" ht="38.1" customHeight="1">
      <c r="A14" s="84" t="s">
        <v>4</v>
      </c>
      <c r="B14" s="109" t="s">
        <v>86</v>
      </c>
      <c r="C14" s="72">
        <v>2022</v>
      </c>
      <c r="D14" s="15">
        <f t="shared" ref="D14:I15" si="0">D23+D75+D177</f>
        <v>277015.59999999998</v>
      </c>
      <c r="E14" s="15">
        <f t="shared" si="0"/>
        <v>11485.4</v>
      </c>
      <c r="F14" s="15">
        <f t="shared" si="0"/>
        <v>69181.099999999991</v>
      </c>
      <c r="G14" s="15">
        <f t="shared" si="0"/>
        <v>995.7</v>
      </c>
      <c r="H14" s="15">
        <f t="shared" si="0"/>
        <v>195353.4</v>
      </c>
      <c r="I14" s="15">
        <f t="shared" si="0"/>
        <v>0</v>
      </c>
      <c r="J14" s="67"/>
    </row>
    <row r="15" spans="1:227" ht="38.1" customHeight="1">
      <c r="A15" s="84"/>
      <c r="B15" s="109"/>
      <c r="C15" s="72">
        <v>2023</v>
      </c>
      <c r="D15" s="15">
        <f t="shared" si="0"/>
        <v>408613.69999999995</v>
      </c>
      <c r="E15" s="15">
        <f t="shared" si="0"/>
        <v>95082.099999999991</v>
      </c>
      <c r="F15" s="15">
        <f t="shared" si="0"/>
        <v>70635.700000000012</v>
      </c>
      <c r="G15" s="15">
        <f t="shared" si="0"/>
        <v>37769.4</v>
      </c>
      <c r="H15" s="15">
        <f t="shared" si="0"/>
        <v>205126.49999999997</v>
      </c>
      <c r="I15" s="15">
        <f t="shared" si="0"/>
        <v>0</v>
      </c>
      <c r="J15" s="67"/>
    </row>
    <row r="16" spans="1:227" ht="38.1" customHeight="1">
      <c r="A16" s="84"/>
      <c r="B16" s="109"/>
      <c r="C16" s="72">
        <v>2024</v>
      </c>
      <c r="D16" s="15">
        <f t="shared" ref="D16:I18" si="1">D25+D123+D145+D179</f>
        <v>344407</v>
      </c>
      <c r="E16" s="15">
        <f t="shared" si="1"/>
        <v>5298.8</v>
      </c>
      <c r="F16" s="15">
        <f t="shared" si="1"/>
        <v>55153.399999999994</v>
      </c>
      <c r="G16" s="15">
        <f t="shared" si="1"/>
        <v>91785.599999999991</v>
      </c>
      <c r="H16" s="15">
        <f t="shared" si="1"/>
        <v>182169.2</v>
      </c>
      <c r="I16" s="15">
        <f t="shared" si="1"/>
        <v>10000</v>
      </c>
      <c r="J16" s="67"/>
      <c r="L16" s="47"/>
      <c r="M16" s="3"/>
      <c r="N16" s="47"/>
    </row>
    <row r="17" spans="1:227" ht="38.1" customHeight="1">
      <c r="A17" s="84"/>
      <c r="B17" s="109"/>
      <c r="C17" s="72">
        <v>2025</v>
      </c>
      <c r="D17" s="15">
        <f t="shared" si="1"/>
        <v>511956.69999999995</v>
      </c>
      <c r="E17" s="15">
        <f t="shared" si="1"/>
        <v>92235.9</v>
      </c>
      <c r="F17" s="15">
        <f t="shared" si="1"/>
        <v>102293.3</v>
      </c>
      <c r="G17" s="15">
        <f t="shared" si="1"/>
        <v>126159.2</v>
      </c>
      <c r="H17" s="15">
        <f t="shared" si="1"/>
        <v>184268.3</v>
      </c>
      <c r="I17" s="15">
        <f t="shared" si="1"/>
        <v>7000</v>
      </c>
      <c r="J17" s="67"/>
      <c r="K17" s="36"/>
      <c r="L17" s="48"/>
      <c r="M17" s="48"/>
      <c r="N17" s="46"/>
    </row>
    <row r="18" spans="1:227" s="76" customFormat="1" ht="38.1" customHeight="1">
      <c r="A18" s="84"/>
      <c r="B18" s="109"/>
      <c r="C18" s="72">
        <v>2026</v>
      </c>
      <c r="D18" s="15">
        <f t="shared" si="1"/>
        <v>944869.81734000007</v>
      </c>
      <c r="E18" s="15">
        <f t="shared" si="1"/>
        <v>98603.8</v>
      </c>
      <c r="F18" s="15">
        <f t="shared" si="1"/>
        <v>272454.2</v>
      </c>
      <c r="G18" s="15">
        <f t="shared" si="1"/>
        <v>332535.21734000003</v>
      </c>
      <c r="H18" s="15">
        <f t="shared" si="1"/>
        <v>228276.6</v>
      </c>
      <c r="I18" s="15">
        <f t="shared" si="1"/>
        <v>13000</v>
      </c>
      <c r="J18" s="67"/>
      <c r="K18" s="36"/>
      <c r="L18" s="47"/>
      <c r="M18" s="75"/>
      <c r="N18" s="75"/>
    </row>
    <row r="19" spans="1:227" ht="38.1" customHeight="1">
      <c r="A19" s="84"/>
      <c r="B19" s="109"/>
      <c r="C19" s="72">
        <v>2027</v>
      </c>
      <c r="D19" s="53">
        <f>SUM(E19:I19)</f>
        <v>182124.4</v>
      </c>
      <c r="E19" s="53">
        <f t="shared" ref="E19:I19" si="2">E126+E182</f>
        <v>0</v>
      </c>
      <c r="F19" s="53">
        <f t="shared" si="2"/>
        <v>0</v>
      </c>
      <c r="G19" s="53">
        <f t="shared" si="2"/>
        <v>0</v>
      </c>
      <c r="H19" s="53">
        <f t="shared" si="2"/>
        <v>182124.4</v>
      </c>
      <c r="I19" s="53">
        <f t="shared" si="2"/>
        <v>0</v>
      </c>
      <c r="J19" s="67"/>
      <c r="K19" s="36"/>
      <c r="L19" s="47"/>
    </row>
    <row r="20" spans="1:227" ht="38.1" customHeight="1">
      <c r="A20" s="84"/>
      <c r="B20" s="109"/>
      <c r="C20" s="72">
        <v>2028</v>
      </c>
      <c r="D20" s="53">
        <f t="shared" ref="D20:H20" si="3">D29+D127+D183</f>
        <v>244462.30000000002</v>
      </c>
      <c r="E20" s="53">
        <f t="shared" si="3"/>
        <v>0</v>
      </c>
      <c r="F20" s="53">
        <f t="shared" si="3"/>
        <v>63387.4</v>
      </c>
      <c r="G20" s="53">
        <f t="shared" si="3"/>
        <v>0</v>
      </c>
      <c r="H20" s="53">
        <f t="shared" si="3"/>
        <v>181074.9</v>
      </c>
      <c r="I20" s="53">
        <f>I29+I127+I183</f>
        <v>0</v>
      </c>
      <c r="J20" s="67"/>
      <c r="K20" s="36"/>
      <c r="L20" s="47"/>
    </row>
    <row r="21" spans="1:227" ht="38.1" customHeight="1">
      <c r="A21" s="84"/>
      <c r="B21" s="109"/>
      <c r="C21" s="72" t="s">
        <v>16</v>
      </c>
      <c r="D21" s="15">
        <f>SUM(D14:D20)</f>
        <v>2913449.5173399998</v>
      </c>
      <c r="E21" s="15">
        <f t="shared" ref="E21:H21" si="4">SUM(E14:E20)</f>
        <v>302706</v>
      </c>
      <c r="F21" s="15">
        <f t="shared" si="4"/>
        <v>633105.1</v>
      </c>
      <c r="G21" s="15">
        <f t="shared" si="4"/>
        <v>589245.11734</v>
      </c>
      <c r="H21" s="15">
        <f t="shared" si="4"/>
        <v>1358393.2999999998</v>
      </c>
      <c r="I21" s="15">
        <f>SUM(I14:I20)</f>
        <v>30000</v>
      </c>
      <c r="J21" s="67"/>
    </row>
    <row r="22" spans="1:227">
      <c r="A22" s="24" t="s">
        <v>17</v>
      </c>
      <c r="B22" s="25"/>
      <c r="C22" s="26"/>
      <c r="D22" s="27"/>
      <c r="E22" s="27"/>
      <c r="F22" s="27"/>
      <c r="G22" s="27"/>
      <c r="H22" s="27"/>
      <c r="I22" s="28"/>
      <c r="J22" s="67"/>
    </row>
    <row r="23" spans="1:227" ht="18.75" customHeight="1">
      <c r="A23" s="81" t="s">
        <v>78</v>
      </c>
      <c r="B23" s="86"/>
      <c r="C23" s="72">
        <v>2022</v>
      </c>
      <c r="D23" s="23">
        <f t="shared" ref="D23:I25" si="5">D31</f>
        <v>38878.399999999994</v>
      </c>
      <c r="E23" s="23">
        <f t="shared" si="5"/>
        <v>11353.3</v>
      </c>
      <c r="F23" s="23">
        <f t="shared" si="5"/>
        <v>24803.599999999999</v>
      </c>
      <c r="G23" s="23">
        <f t="shared" si="5"/>
        <v>0</v>
      </c>
      <c r="H23" s="23">
        <f t="shared" si="5"/>
        <v>2721.5</v>
      </c>
      <c r="I23" s="23">
        <f t="shared" si="5"/>
        <v>0</v>
      </c>
      <c r="J23" s="68"/>
      <c r="K23" s="33"/>
      <c r="L23" s="33"/>
      <c r="M23" s="33"/>
      <c r="N23" s="3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85"/>
      <c r="B24" s="88"/>
      <c r="C24" s="72">
        <v>2023</v>
      </c>
      <c r="D24" s="15">
        <f t="shared" si="5"/>
        <v>151703.9</v>
      </c>
      <c r="E24" s="15">
        <f t="shared" si="5"/>
        <v>94877.9</v>
      </c>
      <c r="F24" s="15">
        <f t="shared" si="5"/>
        <v>30656.7</v>
      </c>
      <c r="G24" s="15">
        <f t="shared" si="5"/>
        <v>25000</v>
      </c>
      <c r="H24" s="15">
        <f t="shared" si="5"/>
        <v>1169.3</v>
      </c>
      <c r="I24" s="15">
        <f t="shared" si="5"/>
        <v>0</v>
      </c>
      <c r="J24" s="67"/>
      <c r="K24" s="33"/>
      <c r="L24" s="33"/>
      <c r="M24" s="33"/>
      <c r="N24" s="3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85"/>
      <c r="B25" s="88"/>
      <c r="C25" s="72">
        <v>2024</v>
      </c>
      <c r="D25" s="15">
        <f t="shared" si="5"/>
        <v>19616.400000000001</v>
      </c>
      <c r="E25" s="15">
        <f t="shared" si="5"/>
        <v>4569</v>
      </c>
      <c r="F25" s="15">
        <f t="shared" si="5"/>
        <v>10431</v>
      </c>
      <c r="G25" s="15">
        <f t="shared" si="5"/>
        <v>0</v>
      </c>
      <c r="H25" s="15">
        <f t="shared" si="5"/>
        <v>4616.3999999999996</v>
      </c>
      <c r="I25" s="15">
        <f t="shared" si="5"/>
        <v>0</v>
      </c>
      <c r="J25" s="67"/>
      <c r="K25" s="49"/>
      <c r="L25" s="47"/>
      <c r="M25" s="3"/>
      <c r="N25" s="47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85"/>
      <c r="B26" s="88"/>
      <c r="C26" s="72">
        <v>2025</v>
      </c>
      <c r="D26" s="15">
        <f t="shared" ref="D26:I26" si="6">D34+D55</f>
        <v>221257.19999999998</v>
      </c>
      <c r="E26" s="15">
        <f t="shared" si="6"/>
        <v>91986.4</v>
      </c>
      <c r="F26" s="15">
        <f t="shared" si="6"/>
        <v>85587.3</v>
      </c>
      <c r="G26" s="15">
        <f t="shared" si="6"/>
        <v>42894.799999999996</v>
      </c>
      <c r="H26" s="15">
        <f t="shared" si="6"/>
        <v>788.7</v>
      </c>
      <c r="I26" s="15">
        <f t="shared" si="6"/>
        <v>0</v>
      </c>
      <c r="J26" s="67"/>
      <c r="K26" s="36"/>
      <c r="L26" s="51"/>
      <c r="M26" s="33"/>
      <c r="N26" s="3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s="55" customFormat="1">
      <c r="A27" s="85"/>
      <c r="B27" s="88"/>
      <c r="C27" s="72">
        <v>2026</v>
      </c>
      <c r="D27" s="15">
        <f>SUM(E27:I27)</f>
        <v>516181.9</v>
      </c>
      <c r="E27" s="15">
        <f>E35+E56</f>
        <v>97138</v>
      </c>
      <c r="F27" s="15">
        <f>F35+F56</f>
        <v>229020.5</v>
      </c>
      <c r="G27" s="15">
        <f>G35+G56</f>
        <v>188441.7</v>
      </c>
      <c r="H27" s="15">
        <f>H35+H56</f>
        <v>1581.6999999999998</v>
      </c>
      <c r="I27" s="15">
        <f>I35+I56</f>
        <v>0</v>
      </c>
      <c r="J27" s="67"/>
      <c r="K27" s="36"/>
      <c r="L27" s="51"/>
      <c r="M27" s="33"/>
      <c r="N27" s="58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</row>
    <row r="28" spans="1:227" s="55" customFormat="1">
      <c r="A28" s="85"/>
      <c r="B28" s="88"/>
      <c r="C28" s="72">
        <v>2027</v>
      </c>
      <c r="D28" s="15">
        <f>SUM(E28:I28)</f>
        <v>0</v>
      </c>
      <c r="E28" s="15">
        <f t="shared" ref="E28:H28" si="7">E36+E57</f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>I36+I57</f>
        <v>0</v>
      </c>
      <c r="J28" s="67"/>
      <c r="K28" s="36"/>
      <c r="L28" s="51"/>
      <c r="M28" s="33"/>
      <c r="N28" s="58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</row>
    <row r="29" spans="1:227" s="55" customFormat="1">
      <c r="A29" s="85"/>
      <c r="B29" s="88"/>
      <c r="C29" s="72">
        <v>2028</v>
      </c>
      <c r="D29" s="15">
        <f t="shared" ref="D29:H29" si="8">D58</f>
        <v>64027.700000000004</v>
      </c>
      <c r="E29" s="15">
        <f t="shared" si="8"/>
        <v>0</v>
      </c>
      <c r="F29" s="15">
        <f t="shared" si="8"/>
        <v>63387.4</v>
      </c>
      <c r="G29" s="15">
        <f t="shared" si="8"/>
        <v>0</v>
      </c>
      <c r="H29" s="15">
        <f t="shared" si="8"/>
        <v>640.29999999999995</v>
      </c>
      <c r="I29" s="15">
        <f>I58</f>
        <v>0</v>
      </c>
      <c r="J29" s="67"/>
      <c r="K29" s="36"/>
      <c r="L29" s="51"/>
      <c r="M29" s="33"/>
      <c r="N29" s="58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</row>
    <row r="30" spans="1:227">
      <c r="A30" s="82"/>
      <c r="B30" s="87"/>
      <c r="C30" s="72" t="s">
        <v>16</v>
      </c>
      <c r="D30" s="15">
        <f t="shared" ref="D30:H30" si="9">SUM(D23:D29)</f>
        <v>1011665.5</v>
      </c>
      <c r="E30" s="15">
        <f t="shared" si="9"/>
        <v>299924.59999999998</v>
      </c>
      <c r="F30" s="15">
        <f t="shared" si="9"/>
        <v>443886.5</v>
      </c>
      <c r="G30" s="15">
        <f t="shared" si="9"/>
        <v>256336.5</v>
      </c>
      <c r="H30" s="15">
        <f t="shared" si="9"/>
        <v>11517.900000000001</v>
      </c>
      <c r="I30" s="15">
        <f>SUM(I23:I29)</f>
        <v>0</v>
      </c>
      <c r="J30" s="67"/>
      <c r="K30" s="33"/>
      <c r="L30" s="33"/>
      <c r="M30" s="33"/>
      <c r="N30" s="3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ht="19.5" customHeight="1">
      <c r="A31" s="81" t="s">
        <v>79</v>
      </c>
      <c r="B31" s="86"/>
      <c r="C31" s="72">
        <v>2022</v>
      </c>
      <c r="D31" s="15">
        <f t="shared" ref="D31:I37" si="10">D39+D47</f>
        <v>38878.399999999994</v>
      </c>
      <c r="E31" s="15">
        <f t="shared" si="10"/>
        <v>11353.3</v>
      </c>
      <c r="F31" s="15">
        <f t="shared" si="10"/>
        <v>24803.599999999999</v>
      </c>
      <c r="G31" s="15">
        <f t="shared" si="10"/>
        <v>0</v>
      </c>
      <c r="H31" s="15">
        <f t="shared" si="10"/>
        <v>2721.5</v>
      </c>
      <c r="I31" s="15">
        <f t="shared" si="10"/>
        <v>0</v>
      </c>
      <c r="J31" s="67"/>
      <c r="K31" s="33"/>
      <c r="L31" s="33"/>
      <c r="M31" s="33"/>
      <c r="N31" s="3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ht="19.5" customHeight="1">
      <c r="A32" s="85"/>
      <c r="B32" s="88"/>
      <c r="C32" s="72">
        <v>2023</v>
      </c>
      <c r="D32" s="15">
        <f t="shared" si="10"/>
        <v>151703.9</v>
      </c>
      <c r="E32" s="15">
        <f t="shared" si="10"/>
        <v>94877.9</v>
      </c>
      <c r="F32" s="15">
        <f t="shared" si="10"/>
        <v>30656.7</v>
      </c>
      <c r="G32" s="15">
        <f t="shared" si="10"/>
        <v>25000</v>
      </c>
      <c r="H32" s="15">
        <f t="shared" si="10"/>
        <v>1169.3</v>
      </c>
      <c r="I32" s="15">
        <f t="shared" si="10"/>
        <v>0</v>
      </c>
      <c r="J32" s="67"/>
      <c r="K32" s="33"/>
      <c r="L32" s="33"/>
      <c r="M32" s="33"/>
      <c r="N32" s="3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ht="19.5" customHeight="1">
      <c r="A33" s="85"/>
      <c r="B33" s="88"/>
      <c r="C33" s="72">
        <v>2024</v>
      </c>
      <c r="D33" s="15">
        <f>SUM(E33:I33)</f>
        <v>19616.400000000001</v>
      </c>
      <c r="E33" s="15">
        <f t="shared" si="10"/>
        <v>4569</v>
      </c>
      <c r="F33" s="15">
        <f t="shared" si="10"/>
        <v>10431</v>
      </c>
      <c r="G33" s="15">
        <f t="shared" si="10"/>
        <v>0</v>
      </c>
      <c r="H33" s="15">
        <f t="shared" si="10"/>
        <v>4616.3999999999996</v>
      </c>
      <c r="I33" s="15">
        <f t="shared" si="10"/>
        <v>0</v>
      </c>
      <c r="J33" s="67"/>
      <c r="K33" s="33"/>
      <c r="L33" s="47"/>
      <c r="M33" s="3"/>
      <c r="N33" s="47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ht="19.5" customHeight="1">
      <c r="A34" s="85"/>
      <c r="B34" s="88"/>
      <c r="C34" s="72">
        <v>2025</v>
      </c>
      <c r="D34" s="15">
        <f>SUM(E34:I34)</f>
        <v>167558.79999999999</v>
      </c>
      <c r="E34" s="15">
        <f t="shared" si="10"/>
        <v>91986.4</v>
      </c>
      <c r="F34" s="15">
        <f t="shared" si="10"/>
        <v>32515.300000000003</v>
      </c>
      <c r="G34" s="15">
        <f t="shared" si="10"/>
        <v>42358.7</v>
      </c>
      <c r="H34" s="15">
        <f t="shared" si="10"/>
        <v>698.4</v>
      </c>
      <c r="I34" s="15">
        <f t="shared" si="10"/>
        <v>0</v>
      </c>
      <c r="J34" s="67"/>
      <c r="K34" s="36"/>
      <c r="L34" s="44"/>
      <c r="M34" s="44"/>
      <c r="N34" s="4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s="55" customFormat="1" ht="19.5" customHeight="1">
      <c r="A35" s="85"/>
      <c r="B35" s="88"/>
      <c r="C35" s="72">
        <v>2026</v>
      </c>
      <c r="D35" s="15">
        <f>SUM(E35:I35)</f>
        <v>358012.9</v>
      </c>
      <c r="E35" s="15">
        <f t="shared" si="10"/>
        <v>97138</v>
      </c>
      <c r="F35" s="15">
        <f t="shared" si="10"/>
        <v>72433.2</v>
      </c>
      <c r="G35" s="15">
        <f t="shared" si="10"/>
        <v>188441.7</v>
      </c>
      <c r="H35" s="15">
        <f t="shared" si="10"/>
        <v>0</v>
      </c>
      <c r="I35" s="15">
        <f t="shared" si="10"/>
        <v>0</v>
      </c>
      <c r="J35" s="67"/>
      <c r="K35" s="36"/>
      <c r="L35" s="44"/>
      <c r="M35" s="44"/>
      <c r="N35" s="56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</row>
    <row r="36" spans="1:227" s="55" customFormat="1" ht="19.5" customHeight="1">
      <c r="A36" s="85"/>
      <c r="B36" s="88"/>
      <c r="C36" s="72">
        <v>2027</v>
      </c>
      <c r="D36" s="15">
        <f>SUM(E36:I36)</f>
        <v>0</v>
      </c>
      <c r="E36" s="15">
        <f t="shared" si="10"/>
        <v>0</v>
      </c>
      <c r="F36" s="15">
        <f t="shared" si="10"/>
        <v>0</v>
      </c>
      <c r="G36" s="15">
        <f t="shared" si="10"/>
        <v>0</v>
      </c>
      <c r="H36" s="15">
        <f t="shared" si="10"/>
        <v>0</v>
      </c>
      <c r="I36" s="15">
        <f>I44+I52</f>
        <v>0</v>
      </c>
      <c r="J36" s="67"/>
      <c r="K36" s="36"/>
      <c r="L36" s="44"/>
      <c r="M36" s="44"/>
      <c r="N36" s="56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</row>
    <row r="37" spans="1:227" s="55" customFormat="1" ht="19.5" customHeight="1">
      <c r="A37" s="85"/>
      <c r="B37" s="88"/>
      <c r="C37" s="72">
        <v>2028</v>
      </c>
      <c r="D37" s="15">
        <f>SUM(E37:I37)</f>
        <v>0</v>
      </c>
      <c r="E37" s="15">
        <f t="shared" si="10"/>
        <v>0</v>
      </c>
      <c r="F37" s="15">
        <f t="shared" si="10"/>
        <v>0</v>
      </c>
      <c r="G37" s="15">
        <f t="shared" si="10"/>
        <v>0</v>
      </c>
      <c r="H37" s="15">
        <f t="shared" si="10"/>
        <v>0</v>
      </c>
      <c r="I37" s="15">
        <f>I45+I53</f>
        <v>0</v>
      </c>
      <c r="J37" s="67"/>
      <c r="K37" s="36"/>
      <c r="L37" s="44"/>
      <c r="M37" s="44"/>
      <c r="N37" s="56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</row>
    <row r="38" spans="1:227" ht="19.5" customHeight="1">
      <c r="A38" s="82"/>
      <c r="B38" s="87"/>
      <c r="C38" s="72" t="s">
        <v>16</v>
      </c>
      <c r="D38" s="15">
        <f t="shared" ref="D38:H38" si="11">SUM(D31:D37)</f>
        <v>735770.4</v>
      </c>
      <c r="E38" s="15">
        <f t="shared" si="11"/>
        <v>299924.59999999998</v>
      </c>
      <c r="F38" s="15">
        <f t="shared" si="11"/>
        <v>170839.8</v>
      </c>
      <c r="G38" s="15">
        <f t="shared" si="11"/>
        <v>255800.40000000002</v>
      </c>
      <c r="H38" s="15">
        <f t="shared" si="11"/>
        <v>9205.6</v>
      </c>
      <c r="I38" s="15">
        <f>SUM(I31:I37)</f>
        <v>0</v>
      </c>
      <c r="J38" s="67"/>
      <c r="K38" s="33"/>
      <c r="L38" s="33"/>
      <c r="M38" s="33"/>
      <c r="N38" s="3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ht="19.5" customHeight="1">
      <c r="A39" s="77" t="s">
        <v>92</v>
      </c>
      <c r="B39" s="86"/>
      <c r="C39" s="71">
        <v>2022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69"/>
    </row>
    <row r="40" spans="1:227" ht="19.5" customHeight="1">
      <c r="A40" s="78"/>
      <c r="B40" s="88"/>
      <c r="C40" s="71">
        <v>2023</v>
      </c>
      <c r="D40" s="14">
        <f>SUM(E40:I40)</f>
        <v>135000</v>
      </c>
      <c r="E40" s="14">
        <v>90000</v>
      </c>
      <c r="F40" s="14">
        <v>20000</v>
      </c>
      <c r="G40" s="14">
        <v>25000</v>
      </c>
      <c r="H40" s="14">
        <v>0</v>
      </c>
      <c r="I40" s="14">
        <v>0</v>
      </c>
      <c r="J40" s="69"/>
    </row>
    <row r="41" spans="1:227" ht="19.5" customHeight="1">
      <c r="A41" s="78"/>
      <c r="B41" s="88"/>
      <c r="C41" s="71">
        <v>2024</v>
      </c>
      <c r="D41" s="14">
        <f>SUM(E41:I41)</f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69"/>
      <c r="L41" s="47"/>
      <c r="M41" s="3"/>
      <c r="N41" s="47"/>
    </row>
    <row r="42" spans="1:227" ht="19.5" customHeight="1">
      <c r="A42" s="78"/>
      <c r="B42" s="88"/>
      <c r="C42" s="71">
        <v>2025</v>
      </c>
      <c r="D42" s="14">
        <f>SUM(E42:I42)</f>
        <v>146230.79999999999</v>
      </c>
      <c r="E42" s="14">
        <f>90235.3-3874.8</f>
        <v>86360.5</v>
      </c>
      <c r="F42" s="14">
        <f>20000-858.8-0.1+0.1</f>
        <v>19141.2</v>
      </c>
      <c r="G42" s="14">
        <f>42556.5-1827.4</f>
        <v>40729.1</v>
      </c>
      <c r="H42" s="14">
        <v>0</v>
      </c>
      <c r="I42" s="14">
        <v>0</v>
      </c>
      <c r="J42" s="69"/>
      <c r="K42" s="37"/>
      <c r="L42" s="40"/>
      <c r="M42" s="45"/>
      <c r="N42" s="44"/>
    </row>
    <row r="43" spans="1:227" s="55" customFormat="1" ht="19.5" customHeight="1">
      <c r="A43" s="78"/>
      <c r="B43" s="88"/>
      <c r="C43" s="71">
        <v>2026</v>
      </c>
      <c r="D43" s="14">
        <f>SUM(E43:I43)</f>
        <v>327571.20000000001</v>
      </c>
      <c r="E43" s="14">
        <v>91848.4</v>
      </c>
      <c r="F43" s="14">
        <v>58722.8</v>
      </c>
      <c r="G43" s="14">
        <v>177000</v>
      </c>
      <c r="H43" s="14">
        <v>0</v>
      </c>
      <c r="I43" s="14">
        <v>0</v>
      </c>
      <c r="J43" s="69"/>
      <c r="K43" s="37"/>
      <c r="L43" s="40"/>
      <c r="M43" s="45"/>
      <c r="N43" s="56"/>
    </row>
    <row r="44" spans="1:227" s="55" customFormat="1" ht="19.5" customHeight="1">
      <c r="A44" s="78"/>
      <c r="B44" s="88"/>
      <c r="C44" s="71">
        <v>2027</v>
      </c>
      <c r="D44" s="14">
        <f t="shared" ref="D44:D45" si="12">SUM(E44:I44)</f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69"/>
      <c r="K44" s="37"/>
      <c r="L44" s="40"/>
      <c r="M44" s="45"/>
      <c r="N44" s="56"/>
    </row>
    <row r="45" spans="1:227" s="55" customFormat="1" ht="19.5" customHeight="1">
      <c r="A45" s="78"/>
      <c r="B45" s="88"/>
      <c r="C45" s="71">
        <v>2028</v>
      </c>
      <c r="D45" s="14">
        <f t="shared" si="12"/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69"/>
      <c r="K45" s="37"/>
      <c r="L45" s="40"/>
      <c r="M45" s="45"/>
      <c r="N45" s="56"/>
    </row>
    <row r="46" spans="1:227" ht="19.5" customHeight="1">
      <c r="A46" s="79"/>
      <c r="B46" s="87"/>
      <c r="C46" s="71" t="s">
        <v>16</v>
      </c>
      <c r="D46" s="14">
        <f t="shared" ref="D46:H46" si="13">SUM(D39:D45)</f>
        <v>608802</v>
      </c>
      <c r="E46" s="14">
        <f t="shared" si="13"/>
        <v>268208.90000000002</v>
      </c>
      <c r="F46" s="14">
        <f t="shared" si="13"/>
        <v>97864</v>
      </c>
      <c r="G46" s="14">
        <f t="shared" si="13"/>
        <v>242729.1</v>
      </c>
      <c r="H46" s="14">
        <f t="shared" si="13"/>
        <v>0</v>
      </c>
      <c r="I46" s="14">
        <f>SUM(I39:I45)</f>
        <v>0</v>
      </c>
      <c r="J46" s="69"/>
    </row>
    <row r="47" spans="1:227" ht="18.75" customHeight="1">
      <c r="A47" s="77" t="s">
        <v>18</v>
      </c>
      <c r="B47" s="86"/>
      <c r="C47" s="71">
        <v>2022</v>
      </c>
      <c r="D47" s="14">
        <f t="shared" ref="D47:D50" si="14">SUM(E47:I47)</f>
        <v>38878.399999999994</v>
      </c>
      <c r="E47" s="14">
        <v>11353.3</v>
      </c>
      <c r="F47" s="14">
        <v>24803.599999999999</v>
      </c>
      <c r="G47" s="14">
        <v>0</v>
      </c>
      <c r="H47" s="14">
        <v>2721.5</v>
      </c>
      <c r="I47" s="14">
        <v>0</v>
      </c>
      <c r="J47" s="69"/>
    </row>
    <row r="48" spans="1:227">
      <c r="A48" s="78"/>
      <c r="B48" s="88"/>
      <c r="C48" s="71">
        <v>2023</v>
      </c>
      <c r="D48" s="14">
        <f t="shared" si="14"/>
        <v>16703.900000000001</v>
      </c>
      <c r="E48" s="14">
        <v>4877.8999999999996</v>
      </c>
      <c r="F48" s="14">
        <v>10656.7</v>
      </c>
      <c r="G48" s="14">
        <v>0</v>
      </c>
      <c r="H48" s="14">
        <v>1169.3</v>
      </c>
      <c r="I48" s="14">
        <v>0</v>
      </c>
      <c r="J48" s="69"/>
    </row>
    <row r="49" spans="1:227">
      <c r="A49" s="78"/>
      <c r="B49" s="88"/>
      <c r="C49" s="71">
        <v>2024</v>
      </c>
      <c r="D49" s="14">
        <f t="shared" si="14"/>
        <v>19616.400000000001</v>
      </c>
      <c r="E49" s="14">
        <v>4569</v>
      </c>
      <c r="F49" s="14">
        <v>10431</v>
      </c>
      <c r="G49" s="14">
        <v>0</v>
      </c>
      <c r="H49" s="14">
        <v>4616.3999999999996</v>
      </c>
      <c r="I49" s="14">
        <v>0</v>
      </c>
      <c r="J49" s="69"/>
    </row>
    <row r="50" spans="1:227">
      <c r="A50" s="78"/>
      <c r="B50" s="88"/>
      <c r="C50" s="71">
        <v>2025</v>
      </c>
      <c r="D50" s="14">
        <f t="shared" si="14"/>
        <v>21328</v>
      </c>
      <c r="E50" s="14">
        <v>5625.9</v>
      </c>
      <c r="F50" s="14">
        <v>13374.1</v>
      </c>
      <c r="G50" s="14">
        <v>1629.6</v>
      </c>
      <c r="H50" s="14">
        <v>698.4</v>
      </c>
      <c r="I50" s="14">
        <v>0</v>
      </c>
      <c r="J50" s="69"/>
      <c r="K50" s="37"/>
    </row>
    <row r="51" spans="1:227" s="55" customFormat="1">
      <c r="A51" s="78"/>
      <c r="B51" s="88"/>
      <c r="C51" s="71">
        <v>2026</v>
      </c>
      <c r="D51" s="14">
        <f>SUM(E51:I51)</f>
        <v>30441.7</v>
      </c>
      <c r="E51" s="14">
        <v>5289.6</v>
      </c>
      <c r="F51" s="14">
        <v>13710.4</v>
      </c>
      <c r="G51" s="14">
        <v>11441.7</v>
      </c>
      <c r="H51" s="14">
        <v>0</v>
      </c>
      <c r="I51" s="14">
        <v>0</v>
      </c>
      <c r="J51" s="69"/>
      <c r="K51" s="37"/>
      <c r="L51" s="6"/>
      <c r="M51" s="6"/>
      <c r="N51" s="54"/>
    </row>
    <row r="52" spans="1:227" s="55" customFormat="1">
      <c r="A52" s="78"/>
      <c r="B52" s="88"/>
      <c r="C52" s="71">
        <v>2027</v>
      </c>
      <c r="D52" s="14">
        <f t="shared" ref="D52:D53" si="15">SUM(E52:I52)</f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69"/>
      <c r="K52" s="37"/>
      <c r="L52" s="6"/>
      <c r="M52" s="6"/>
      <c r="N52" s="54"/>
    </row>
    <row r="53" spans="1:227" s="55" customFormat="1">
      <c r="A53" s="78"/>
      <c r="B53" s="88"/>
      <c r="C53" s="71">
        <v>2028</v>
      </c>
      <c r="D53" s="14">
        <f t="shared" si="15"/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69"/>
      <c r="K53" s="37"/>
      <c r="L53" s="6"/>
      <c r="M53" s="6"/>
      <c r="N53" s="54"/>
    </row>
    <row r="54" spans="1:227">
      <c r="A54" s="79"/>
      <c r="B54" s="87"/>
      <c r="C54" s="71" t="s">
        <v>16</v>
      </c>
      <c r="D54" s="14">
        <f t="shared" ref="D54:H54" si="16">SUM(D47:D53)</f>
        <v>126968.4</v>
      </c>
      <c r="E54" s="14">
        <f t="shared" si="16"/>
        <v>31715.699999999997</v>
      </c>
      <c r="F54" s="14">
        <f t="shared" si="16"/>
        <v>72975.8</v>
      </c>
      <c r="G54" s="14">
        <f t="shared" si="16"/>
        <v>13071.300000000001</v>
      </c>
      <c r="H54" s="14">
        <f t="shared" si="16"/>
        <v>9205.6</v>
      </c>
      <c r="I54" s="14">
        <f>SUM(I47:I53)</f>
        <v>0</v>
      </c>
      <c r="J54" s="69"/>
      <c r="L54" s="47"/>
      <c r="M54" s="3"/>
      <c r="N54" s="47"/>
    </row>
    <row r="55" spans="1:227" ht="19.5" customHeight="1">
      <c r="A55" s="81" t="s">
        <v>88</v>
      </c>
      <c r="B55" s="88"/>
      <c r="C55" s="72">
        <v>2025</v>
      </c>
      <c r="D55" s="15">
        <f>SUM(E55:I55)</f>
        <v>53698.400000000001</v>
      </c>
      <c r="E55" s="15">
        <f t="shared" ref="E55:I57" si="17">E60+E65+E70</f>
        <v>0</v>
      </c>
      <c r="F55" s="15">
        <f t="shared" si="17"/>
        <v>53072</v>
      </c>
      <c r="G55" s="15">
        <f t="shared" si="17"/>
        <v>536.1</v>
      </c>
      <c r="H55" s="15">
        <f t="shared" si="17"/>
        <v>90.300000000000011</v>
      </c>
      <c r="I55" s="15">
        <f t="shared" si="17"/>
        <v>0</v>
      </c>
      <c r="J55" s="67"/>
      <c r="K55" s="36"/>
      <c r="L55" s="44"/>
      <c r="M55" s="44"/>
      <c r="N55" s="4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</row>
    <row r="56" spans="1:227" s="55" customFormat="1" ht="19.5" customHeight="1">
      <c r="A56" s="85"/>
      <c r="B56" s="88"/>
      <c r="C56" s="72">
        <v>2026</v>
      </c>
      <c r="D56" s="15">
        <f>SUM(E56:I56)</f>
        <v>158169</v>
      </c>
      <c r="E56" s="15">
        <f t="shared" si="17"/>
        <v>0</v>
      </c>
      <c r="F56" s="15">
        <f t="shared" si="17"/>
        <v>156587.29999999999</v>
      </c>
      <c r="G56" s="15">
        <f t="shared" si="17"/>
        <v>0</v>
      </c>
      <c r="H56" s="15">
        <f t="shared" si="17"/>
        <v>1581.6999999999998</v>
      </c>
      <c r="I56" s="15">
        <f t="shared" si="17"/>
        <v>0</v>
      </c>
      <c r="J56" s="67"/>
      <c r="K56" s="36"/>
      <c r="L56" s="44"/>
      <c r="M56" s="44"/>
      <c r="N56" s="56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</row>
    <row r="57" spans="1:227" s="55" customFormat="1" ht="19.5" customHeight="1">
      <c r="A57" s="85"/>
      <c r="B57" s="88"/>
      <c r="C57" s="72">
        <v>2027</v>
      </c>
      <c r="D57" s="15">
        <f>SUM(E57:I57)</f>
        <v>0</v>
      </c>
      <c r="E57" s="15">
        <f t="shared" si="17"/>
        <v>0</v>
      </c>
      <c r="F57" s="15">
        <f t="shared" si="17"/>
        <v>0</v>
      </c>
      <c r="G57" s="15">
        <f t="shared" si="17"/>
        <v>0</v>
      </c>
      <c r="H57" s="15">
        <f t="shared" si="17"/>
        <v>0</v>
      </c>
      <c r="I57" s="15">
        <f>I62+I67+I72</f>
        <v>0</v>
      </c>
      <c r="J57" s="67"/>
      <c r="K57" s="36"/>
      <c r="L57" s="44"/>
      <c r="M57" s="44"/>
      <c r="N57" s="56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</row>
    <row r="58" spans="1:227" s="55" customFormat="1" ht="19.5" customHeight="1">
      <c r="A58" s="85"/>
      <c r="B58" s="88"/>
      <c r="C58" s="72">
        <v>2028</v>
      </c>
      <c r="D58" s="15">
        <f t="shared" ref="D58:H58" si="18">D63+D68</f>
        <v>64027.700000000004</v>
      </c>
      <c r="E58" s="15">
        <f t="shared" si="18"/>
        <v>0</v>
      </c>
      <c r="F58" s="15">
        <f t="shared" si="18"/>
        <v>63387.4</v>
      </c>
      <c r="G58" s="15">
        <f t="shared" si="18"/>
        <v>0</v>
      </c>
      <c r="H58" s="15">
        <f t="shared" si="18"/>
        <v>640.29999999999995</v>
      </c>
      <c r="I58" s="15">
        <f>I63+I68</f>
        <v>0</v>
      </c>
      <c r="J58" s="67"/>
      <c r="K58" s="36"/>
      <c r="L58" s="44"/>
      <c r="M58" s="44"/>
      <c r="N58" s="56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</row>
    <row r="59" spans="1:227" ht="19.5" customHeight="1">
      <c r="A59" s="82"/>
      <c r="B59" s="87"/>
      <c r="C59" s="72" t="s">
        <v>16</v>
      </c>
      <c r="D59" s="15">
        <f t="shared" ref="D59:H59" si="19">SUM(D55:D58)</f>
        <v>275895.09999999998</v>
      </c>
      <c r="E59" s="15">
        <f t="shared" si="19"/>
        <v>0</v>
      </c>
      <c r="F59" s="15">
        <f t="shared" si="19"/>
        <v>273046.7</v>
      </c>
      <c r="G59" s="15">
        <f t="shared" si="19"/>
        <v>536.1</v>
      </c>
      <c r="H59" s="15">
        <f t="shared" si="19"/>
        <v>2312.2999999999997</v>
      </c>
      <c r="I59" s="15">
        <f>SUM(I55:I58)</f>
        <v>0</v>
      </c>
      <c r="J59" s="67"/>
      <c r="K59" s="33"/>
      <c r="L59" s="33"/>
      <c r="M59" s="33"/>
      <c r="N59" s="3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</row>
    <row r="60" spans="1:227" ht="19.5" customHeight="1">
      <c r="A60" s="77" t="s">
        <v>89</v>
      </c>
      <c r="B60" s="88"/>
      <c r="C60" s="71">
        <v>2025</v>
      </c>
      <c r="D60" s="14">
        <f>SUM(E60:I60)</f>
        <v>626.40000000000009</v>
      </c>
      <c r="E60" s="14">
        <v>0</v>
      </c>
      <c r="F60" s="14">
        <v>0</v>
      </c>
      <c r="G60" s="14">
        <f>536.1-0.1+0.1</f>
        <v>536.1</v>
      </c>
      <c r="H60" s="14">
        <f>0+90.4-0.1</f>
        <v>90.300000000000011</v>
      </c>
      <c r="I60" s="14">
        <v>0</v>
      </c>
      <c r="J60" s="69"/>
      <c r="K60" s="37"/>
    </row>
    <row r="61" spans="1:227" s="55" customFormat="1" ht="19.5" customHeight="1">
      <c r="A61" s="78"/>
      <c r="B61" s="88"/>
      <c r="C61" s="71">
        <v>2026</v>
      </c>
      <c r="D61" s="14">
        <f>SUM(E61:I61)</f>
        <v>1581.6999999999998</v>
      </c>
      <c r="E61" s="14">
        <v>0</v>
      </c>
      <c r="F61" s="14">
        <v>0</v>
      </c>
      <c r="G61" s="14">
        <v>0</v>
      </c>
      <c r="H61" s="14">
        <f>381.4+1200.3</f>
        <v>1581.6999999999998</v>
      </c>
      <c r="I61" s="14">
        <v>0</v>
      </c>
      <c r="J61" s="69"/>
      <c r="K61" s="37"/>
      <c r="L61" s="6"/>
      <c r="M61" s="6"/>
      <c r="N61" s="54"/>
    </row>
    <row r="62" spans="1:227" s="55" customFormat="1" ht="19.5" customHeight="1">
      <c r="A62" s="78"/>
      <c r="B62" s="88"/>
      <c r="C62" s="71">
        <v>2027</v>
      </c>
      <c r="D62" s="14">
        <f>SUM(E62:I62)</f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69"/>
      <c r="K62" s="37"/>
      <c r="L62" s="6"/>
      <c r="M62" s="6"/>
      <c r="N62" s="54"/>
    </row>
    <row r="63" spans="1:227" s="55" customFormat="1" ht="19.5" customHeight="1">
      <c r="A63" s="78"/>
      <c r="B63" s="88"/>
      <c r="C63" s="71">
        <v>2028</v>
      </c>
      <c r="D63" s="14">
        <f>SUM(E63:I63)</f>
        <v>640.29999999999995</v>
      </c>
      <c r="E63" s="14">
        <v>0</v>
      </c>
      <c r="F63" s="14">
        <v>0</v>
      </c>
      <c r="G63" s="14">
        <v>0</v>
      </c>
      <c r="H63" s="14">
        <v>640.29999999999995</v>
      </c>
      <c r="I63" s="14">
        <v>0</v>
      </c>
      <c r="J63" s="69"/>
      <c r="K63" s="37"/>
      <c r="L63" s="6"/>
      <c r="M63" s="6"/>
      <c r="N63" s="54"/>
    </row>
    <row r="64" spans="1:227" ht="19.5" customHeight="1">
      <c r="A64" s="79"/>
      <c r="B64" s="87"/>
      <c r="C64" s="71" t="s">
        <v>16</v>
      </c>
      <c r="D64" s="14">
        <f t="shared" ref="D64:H64" si="20">SUM(D60:D63)</f>
        <v>2848.3999999999996</v>
      </c>
      <c r="E64" s="14">
        <f t="shared" si="20"/>
        <v>0</v>
      </c>
      <c r="F64" s="14">
        <f t="shared" si="20"/>
        <v>0</v>
      </c>
      <c r="G64" s="14">
        <f t="shared" si="20"/>
        <v>536.1</v>
      </c>
      <c r="H64" s="14">
        <f t="shared" si="20"/>
        <v>2312.2999999999997</v>
      </c>
      <c r="I64" s="14">
        <f>SUM(I60:I63)</f>
        <v>0</v>
      </c>
      <c r="J64" s="69"/>
    </row>
    <row r="65" spans="1:227" ht="19.5" customHeight="1">
      <c r="A65" s="77" t="s">
        <v>90</v>
      </c>
      <c r="B65" s="88"/>
      <c r="C65" s="71">
        <v>2025</v>
      </c>
      <c r="D65" s="14">
        <f>SUM(E65:I65)</f>
        <v>39795</v>
      </c>
      <c r="E65" s="14">
        <v>0</v>
      </c>
      <c r="F65" s="14">
        <v>39795</v>
      </c>
      <c r="G65" s="14">
        <v>0</v>
      </c>
      <c r="H65" s="14">
        <v>0</v>
      </c>
      <c r="I65" s="14">
        <v>0</v>
      </c>
      <c r="J65" s="69"/>
      <c r="K65" s="37"/>
    </row>
    <row r="66" spans="1:227" s="55" customFormat="1" ht="19.5" customHeight="1">
      <c r="A66" s="78"/>
      <c r="B66" s="88"/>
      <c r="C66" s="71">
        <v>2026</v>
      </c>
      <c r="D66" s="14">
        <f>SUM(E66:I66)</f>
        <v>121425.60000000001</v>
      </c>
      <c r="E66" s="14">
        <v>0</v>
      </c>
      <c r="F66" s="14">
        <f>37756.5+83669.1</f>
        <v>121425.60000000001</v>
      </c>
      <c r="G66" s="14">
        <v>0</v>
      </c>
      <c r="H66" s="14">
        <v>0</v>
      </c>
      <c r="I66" s="14">
        <v>0</v>
      </c>
      <c r="J66" s="69"/>
      <c r="K66" s="37"/>
      <c r="L66" s="6"/>
      <c r="M66" s="6"/>
      <c r="N66" s="54"/>
    </row>
    <row r="67" spans="1:227" s="55" customFormat="1" ht="19.5" customHeight="1">
      <c r="A67" s="78"/>
      <c r="B67" s="88"/>
      <c r="C67" s="71">
        <v>2027</v>
      </c>
      <c r="D67" s="14">
        <f>SUM(E67:I67)</f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69"/>
      <c r="K67" s="37"/>
      <c r="L67" s="6"/>
      <c r="M67" s="6"/>
      <c r="N67" s="54"/>
    </row>
    <row r="68" spans="1:227" s="55" customFormat="1" ht="19.5" customHeight="1">
      <c r="A68" s="78"/>
      <c r="B68" s="88"/>
      <c r="C68" s="71">
        <v>2028</v>
      </c>
      <c r="D68" s="14">
        <f>SUM(E68:I68)</f>
        <v>63387.4</v>
      </c>
      <c r="E68" s="14">
        <v>0</v>
      </c>
      <c r="F68" s="14">
        <v>63387.4</v>
      </c>
      <c r="G68" s="14">
        <v>0</v>
      </c>
      <c r="H68" s="14">
        <v>0</v>
      </c>
      <c r="I68" s="14">
        <v>0</v>
      </c>
      <c r="J68" s="69"/>
      <c r="K68" s="37"/>
      <c r="L68" s="6"/>
      <c r="M68" s="6"/>
      <c r="N68" s="54"/>
    </row>
    <row r="69" spans="1:227" ht="19.5" customHeight="1">
      <c r="A69" s="79"/>
      <c r="B69" s="87"/>
      <c r="C69" s="71" t="s">
        <v>16</v>
      </c>
      <c r="D69" s="14">
        <f t="shared" ref="D69:H69" si="21">SUM(D65:D68)</f>
        <v>224608</v>
      </c>
      <c r="E69" s="14">
        <f t="shared" si="21"/>
        <v>0</v>
      </c>
      <c r="F69" s="14">
        <f t="shared" si="21"/>
        <v>224608</v>
      </c>
      <c r="G69" s="14">
        <f t="shared" si="21"/>
        <v>0</v>
      </c>
      <c r="H69" s="14">
        <f t="shared" si="21"/>
        <v>0</v>
      </c>
      <c r="I69" s="14">
        <f>SUM(I65:I68)</f>
        <v>0</v>
      </c>
      <c r="J69" s="69"/>
    </row>
    <row r="70" spans="1:227" ht="19.5" customHeight="1">
      <c r="A70" s="77" t="s">
        <v>91</v>
      </c>
      <c r="B70" s="88"/>
      <c r="C70" s="71">
        <v>2025</v>
      </c>
      <c r="D70" s="14">
        <f>SUM(E70:I70)</f>
        <v>13277</v>
      </c>
      <c r="E70" s="14">
        <v>0</v>
      </c>
      <c r="F70" s="14">
        <v>13277</v>
      </c>
      <c r="G70" s="14">
        <v>0</v>
      </c>
      <c r="H70" s="14">
        <v>0</v>
      </c>
      <c r="I70" s="14">
        <v>0</v>
      </c>
      <c r="J70" s="69"/>
      <c r="K70" s="37"/>
    </row>
    <row r="71" spans="1:227" ht="19.5" customHeight="1">
      <c r="A71" s="78"/>
      <c r="B71" s="88"/>
      <c r="C71" s="71">
        <v>2026</v>
      </c>
      <c r="D71" s="14">
        <f>SUM(E71:I71)</f>
        <v>35161.699999999997</v>
      </c>
      <c r="E71" s="14">
        <v>0</v>
      </c>
      <c r="F71" s="14">
        <f>0+35161.7</f>
        <v>35161.699999999997</v>
      </c>
      <c r="G71" s="14">
        <v>0</v>
      </c>
      <c r="H71" s="14">
        <v>0</v>
      </c>
      <c r="I71" s="14">
        <v>0</v>
      </c>
      <c r="J71" s="69"/>
      <c r="K71" s="37"/>
    </row>
    <row r="72" spans="1:227" ht="19.5" customHeight="1">
      <c r="A72" s="78"/>
      <c r="B72" s="88"/>
      <c r="C72" s="71">
        <v>2027</v>
      </c>
      <c r="D72" s="14">
        <f>SUM(E72:I72)</f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69"/>
      <c r="K72" s="37"/>
    </row>
    <row r="73" spans="1:227" ht="19.5" customHeight="1">
      <c r="A73" s="78"/>
      <c r="B73" s="88"/>
      <c r="C73" s="71">
        <v>2028</v>
      </c>
      <c r="D73" s="14">
        <f>SUM(E73:I73)</f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69"/>
      <c r="K73" s="37"/>
    </row>
    <row r="74" spans="1:227" ht="19.5" customHeight="1">
      <c r="A74" s="79"/>
      <c r="B74" s="87"/>
      <c r="C74" s="71" t="s">
        <v>16</v>
      </c>
      <c r="D74" s="14">
        <f t="shared" ref="D74:H74" si="22">SUM(D70:D73)</f>
        <v>48438.7</v>
      </c>
      <c r="E74" s="14">
        <f t="shared" si="22"/>
        <v>0</v>
      </c>
      <c r="F74" s="14">
        <f t="shared" si="22"/>
        <v>48438.7</v>
      </c>
      <c r="G74" s="14">
        <f t="shared" si="22"/>
        <v>0</v>
      </c>
      <c r="H74" s="14">
        <f t="shared" si="22"/>
        <v>0</v>
      </c>
      <c r="I74" s="14">
        <f>SUM(I70:I73)</f>
        <v>0</v>
      </c>
      <c r="J74" s="69"/>
    </row>
    <row r="75" spans="1:227">
      <c r="A75" s="84" t="s">
        <v>57</v>
      </c>
      <c r="B75" s="104"/>
      <c r="C75" s="72">
        <v>2022</v>
      </c>
      <c r="D75" s="22">
        <f t="shared" ref="D75:G75" si="23">D78+D84+D96+D111+D117</f>
        <v>54988.5</v>
      </c>
      <c r="E75" s="22">
        <f t="shared" si="23"/>
        <v>0</v>
      </c>
      <c r="F75" s="22">
        <f t="shared" si="23"/>
        <v>40132.1</v>
      </c>
      <c r="G75" s="22">
        <f t="shared" si="23"/>
        <v>0</v>
      </c>
      <c r="H75" s="22">
        <f>H78+H84+H96+H111+H117</f>
        <v>14856.400000000001</v>
      </c>
      <c r="I75" s="22">
        <f>(I78+I84+I90+I96+I111+I164)</f>
        <v>0</v>
      </c>
      <c r="J75" s="67"/>
      <c r="K75" s="33"/>
      <c r="L75" s="33"/>
      <c r="M75" s="33"/>
      <c r="N75" s="3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</row>
    <row r="76" spans="1:227">
      <c r="A76" s="84"/>
      <c r="B76" s="105"/>
      <c r="C76" s="72">
        <v>2023</v>
      </c>
      <c r="D76" s="22">
        <f t="shared" ref="D76:G76" si="24">D79+D85+D91+D97+D112+D118</f>
        <v>65759</v>
      </c>
      <c r="E76" s="22">
        <f t="shared" si="24"/>
        <v>0</v>
      </c>
      <c r="F76" s="22">
        <f t="shared" si="24"/>
        <v>34603.4</v>
      </c>
      <c r="G76" s="22">
        <f t="shared" si="24"/>
        <v>0</v>
      </c>
      <c r="H76" s="22">
        <f>H79+H85+H91+H97+H112+H118</f>
        <v>31155.599999999999</v>
      </c>
      <c r="I76" s="22">
        <f>I79+I85+I91+I97+I112+I118</f>
        <v>0</v>
      </c>
      <c r="J76" s="67"/>
      <c r="K76" s="33"/>
      <c r="L76" s="33"/>
      <c r="M76" s="33"/>
      <c r="N76" s="3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</row>
    <row r="77" spans="1:227">
      <c r="A77" s="84"/>
      <c r="B77" s="106"/>
      <c r="C77" s="72" t="s">
        <v>16</v>
      </c>
      <c r="D77" s="15">
        <f t="shared" ref="D77:I77" si="25">SUM(D75:D76)</f>
        <v>120747.5</v>
      </c>
      <c r="E77" s="15">
        <f t="shared" si="25"/>
        <v>0</v>
      </c>
      <c r="F77" s="15">
        <f t="shared" si="25"/>
        <v>74735.5</v>
      </c>
      <c r="G77" s="15">
        <f t="shared" si="25"/>
        <v>0</v>
      </c>
      <c r="H77" s="15">
        <f t="shared" si="25"/>
        <v>46012</v>
      </c>
      <c r="I77" s="15">
        <f t="shared" si="25"/>
        <v>0</v>
      </c>
      <c r="J77" s="67"/>
      <c r="K77" s="33"/>
      <c r="L77" s="33"/>
      <c r="M77" s="33"/>
      <c r="N77" s="3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</row>
    <row r="78" spans="1:227">
      <c r="A78" s="84" t="s">
        <v>58</v>
      </c>
      <c r="B78" s="86"/>
      <c r="C78" s="72">
        <v>2022</v>
      </c>
      <c r="D78" s="15">
        <f t="shared" ref="D78:I79" si="26">D81</f>
        <v>18956.400000000001</v>
      </c>
      <c r="E78" s="15">
        <f t="shared" si="26"/>
        <v>0</v>
      </c>
      <c r="F78" s="15">
        <f t="shared" si="26"/>
        <v>13365.6</v>
      </c>
      <c r="G78" s="15">
        <f t="shared" si="26"/>
        <v>0</v>
      </c>
      <c r="H78" s="15">
        <f t="shared" si="26"/>
        <v>5590.8</v>
      </c>
      <c r="I78" s="15">
        <f t="shared" si="26"/>
        <v>0</v>
      </c>
      <c r="J78" s="67"/>
      <c r="K78" s="33"/>
      <c r="L78" s="33"/>
      <c r="M78" s="33"/>
      <c r="N78" s="3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</row>
    <row r="79" spans="1:227">
      <c r="A79" s="84"/>
      <c r="B79" s="88"/>
      <c r="C79" s="72">
        <v>2023</v>
      </c>
      <c r="D79" s="15">
        <f t="shared" si="26"/>
        <v>49077.9</v>
      </c>
      <c r="E79" s="15">
        <f t="shared" si="26"/>
        <v>0</v>
      </c>
      <c r="F79" s="15">
        <f t="shared" si="26"/>
        <v>34603.4</v>
      </c>
      <c r="G79" s="15">
        <f t="shared" si="26"/>
        <v>0</v>
      </c>
      <c r="H79" s="15">
        <f t="shared" si="26"/>
        <v>14474.5</v>
      </c>
      <c r="I79" s="15">
        <f t="shared" si="26"/>
        <v>0</v>
      </c>
      <c r="J79" s="67"/>
      <c r="K79" s="33"/>
      <c r="L79" s="33"/>
      <c r="M79" s="33"/>
      <c r="N79" s="3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</row>
    <row r="80" spans="1:227" ht="32.25" customHeight="1">
      <c r="A80" s="84"/>
      <c r="B80" s="87"/>
      <c r="C80" s="72" t="s">
        <v>16</v>
      </c>
      <c r="D80" s="22">
        <f t="shared" ref="D80:I80" si="27">SUM(D78:D79)</f>
        <v>68034.3</v>
      </c>
      <c r="E80" s="22">
        <f t="shared" si="27"/>
        <v>0</v>
      </c>
      <c r="F80" s="22">
        <f t="shared" si="27"/>
        <v>47969</v>
      </c>
      <c r="G80" s="22">
        <f t="shared" si="27"/>
        <v>0</v>
      </c>
      <c r="H80" s="22">
        <f t="shared" si="27"/>
        <v>20065.3</v>
      </c>
      <c r="I80" s="22">
        <f t="shared" si="27"/>
        <v>0</v>
      </c>
      <c r="J80" s="67"/>
      <c r="K80" s="33"/>
      <c r="L80" s="33"/>
      <c r="M80" s="33"/>
      <c r="N80" s="3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</row>
    <row r="81" spans="1:227">
      <c r="A81" s="77" t="s">
        <v>19</v>
      </c>
      <c r="B81" s="86"/>
      <c r="C81" s="71">
        <v>2022</v>
      </c>
      <c r="D81" s="14">
        <f>SUM(E81:I81)</f>
        <v>18956.400000000001</v>
      </c>
      <c r="E81" s="14">
        <v>0</v>
      </c>
      <c r="F81" s="14">
        <v>13365.6</v>
      </c>
      <c r="G81" s="14">
        <v>0</v>
      </c>
      <c r="H81" s="14">
        <v>5590.8</v>
      </c>
      <c r="I81" s="14">
        <v>0</v>
      </c>
      <c r="J81" s="69"/>
    </row>
    <row r="82" spans="1:227">
      <c r="A82" s="78"/>
      <c r="B82" s="88"/>
      <c r="C82" s="71">
        <v>2023</v>
      </c>
      <c r="D82" s="14">
        <f>SUM(E82:I82)</f>
        <v>49077.9</v>
      </c>
      <c r="E82" s="14">
        <v>0</v>
      </c>
      <c r="F82" s="14">
        <v>34603.4</v>
      </c>
      <c r="G82" s="14">
        <v>0</v>
      </c>
      <c r="H82" s="14">
        <v>14474.5</v>
      </c>
      <c r="I82" s="14">
        <v>0</v>
      </c>
      <c r="J82" s="69"/>
    </row>
    <row r="83" spans="1:227">
      <c r="A83" s="79"/>
      <c r="B83" s="87"/>
      <c r="C83" s="71" t="s">
        <v>16</v>
      </c>
      <c r="D83" s="14">
        <f t="shared" ref="D83:I83" si="28">SUM(D81:D82)</f>
        <v>68034.3</v>
      </c>
      <c r="E83" s="14">
        <f t="shared" si="28"/>
        <v>0</v>
      </c>
      <c r="F83" s="14">
        <f t="shared" si="28"/>
        <v>47969</v>
      </c>
      <c r="G83" s="14">
        <f t="shared" si="28"/>
        <v>0</v>
      </c>
      <c r="H83" s="14">
        <f t="shared" si="28"/>
        <v>20065.3</v>
      </c>
      <c r="I83" s="14">
        <f t="shared" si="28"/>
        <v>0</v>
      </c>
      <c r="J83" s="69"/>
    </row>
    <row r="84" spans="1:227">
      <c r="A84" s="84" t="s">
        <v>59</v>
      </c>
      <c r="B84" s="86"/>
      <c r="C84" s="72">
        <v>2022</v>
      </c>
      <c r="D84" s="15">
        <f t="shared" ref="D84:I86" si="29">D87</f>
        <v>7300</v>
      </c>
      <c r="E84" s="15">
        <f t="shared" si="29"/>
        <v>0</v>
      </c>
      <c r="F84" s="15">
        <f t="shared" si="29"/>
        <v>6862</v>
      </c>
      <c r="G84" s="15">
        <f t="shared" si="29"/>
        <v>0</v>
      </c>
      <c r="H84" s="15">
        <f t="shared" si="29"/>
        <v>438</v>
      </c>
      <c r="I84" s="15">
        <f t="shared" si="29"/>
        <v>0</v>
      </c>
      <c r="J84" s="67"/>
      <c r="K84" s="33"/>
      <c r="L84" s="33"/>
      <c r="M84" s="33"/>
      <c r="N84" s="3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</row>
    <row r="85" spans="1:227">
      <c r="A85" s="84"/>
      <c r="B85" s="88"/>
      <c r="C85" s="72">
        <v>2023</v>
      </c>
      <c r="D85" s="15">
        <f t="shared" si="29"/>
        <v>6300</v>
      </c>
      <c r="E85" s="15">
        <f t="shared" si="29"/>
        <v>0</v>
      </c>
      <c r="F85" s="15">
        <f t="shared" si="29"/>
        <v>0</v>
      </c>
      <c r="G85" s="15">
        <f t="shared" si="29"/>
        <v>0</v>
      </c>
      <c r="H85" s="15">
        <f t="shared" si="29"/>
        <v>6300</v>
      </c>
      <c r="I85" s="15">
        <f t="shared" si="29"/>
        <v>0</v>
      </c>
      <c r="J85" s="67"/>
      <c r="K85" s="33"/>
      <c r="L85" s="33"/>
      <c r="M85" s="33"/>
      <c r="N85" s="3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</row>
    <row r="86" spans="1:227" ht="27.75" customHeight="1">
      <c r="A86" s="84"/>
      <c r="B86" s="87"/>
      <c r="C86" s="72" t="s">
        <v>16</v>
      </c>
      <c r="D86" s="15">
        <f t="shared" si="29"/>
        <v>13600</v>
      </c>
      <c r="E86" s="15">
        <f t="shared" si="29"/>
        <v>0</v>
      </c>
      <c r="F86" s="15">
        <f t="shared" si="29"/>
        <v>6862</v>
      </c>
      <c r="G86" s="15">
        <f t="shared" si="29"/>
        <v>0</v>
      </c>
      <c r="H86" s="15">
        <f t="shared" si="29"/>
        <v>6738</v>
      </c>
      <c r="I86" s="15">
        <f t="shared" si="29"/>
        <v>0</v>
      </c>
      <c r="J86" s="67"/>
      <c r="K86" s="33"/>
      <c r="L86" s="33"/>
      <c r="M86" s="33"/>
      <c r="N86" s="3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</row>
    <row r="87" spans="1:227">
      <c r="A87" s="77" t="s">
        <v>20</v>
      </c>
      <c r="B87" s="86"/>
      <c r="C87" s="71">
        <v>2022</v>
      </c>
      <c r="D87" s="14">
        <f>SUM(E87:I87)</f>
        <v>7300</v>
      </c>
      <c r="E87" s="14">
        <v>0</v>
      </c>
      <c r="F87" s="14">
        <v>6862</v>
      </c>
      <c r="G87" s="14">
        <v>0</v>
      </c>
      <c r="H87" s="14">
        <v>438</v>
      </c>
      <c r="I87" s="14">
        <v>0</v>
      </c>
      <c r="J87" s="69"/>
    </row>
    <row r="88" spans="1:227">
      <c r="A88" s="78"/>
      <c r="B88" s="88"/>
      <c r="C88" s="71">
        <v>2023</v>
      </c>
      <c r="D88" s="14">
        <f>SUM(E88:I88)</f>
        <v>6300</v>
      </c>
      <c r="E88" s="14">
        <v>0</v>
      </c>
      <c r="F88" s="14">
        <v>0</v>
      </c>
      <c r="G88" s="14">
        <v>0</v>
      </c>
      <c r="H88" s="14">
        <v>6300</v>
      </c>
      <c r="I88" s="14">
        <v>0</v>
      </c>
      <c r="J88" s="69"/>
    </row>
    <row r="89" spans="1:227">
      <c r="A89" s="79"/>
      <c r="B89" s="87"/>
      <c r="C89" s="71" t="s">
        <v>16</v>
      </c>
      <c r="D89" s="14">
        <f t="shared" ref="D89:I89" si="30">SUM(D87:D88)</f>
        <v>13600</v>
      </c>
      <c r="E89" s="14">
        <f t="shared" si="30"/>
        <v>0</v>
      </c>
      <c r="F89" s="14">
        <f t="shared" si="30"/>
        <v>6862</v>
      </c>
      <c r="G89" s="14">
        <f t="shared" si="30"/>
        <v>0</v>
      </c>
      <c r="H89" s="14">
        <f t="shared" si="30"/>
        <v>6738</v>
      </c>
      <c r="I89" s="14">
        <f t="shared" si="30"/>
        <v>0</v>
      </c>
      <c r="J89" s="69"/>
    </row>
    <row r="90" spans="1:227" ht="30" customHeight="1">
      <c r="A90" s="84" t="s">
        <v>60</v>
      </c>
      <c r="B90" s="86"/>
      <c r="C90" s="72">
        <v>2022</v>
      </c>
      <c r="D90" s="15">
        <f t="shared" ref="D90:H91" si="31">D93</f>
        <v>0</v>
      </c>
      <c r="E90" s="15">
        <f t="shared" si="31"/>
        <v>0</v>
      </c>
      <c r="F90" s="15">
        <f t="shared" si="31"/>
        <v>0</v>
      </c>
      <c r="G90" s="15">
        <f t="shared" si="31"/>
        <v>0</v>
      </c>
      <c r="H90" s="15">
        <f t="shared" si="31"/>
        <v>0</v>
      </c>
      <c r="I90" s="15">
        <v>0</v>
      </c>
      <c r="J90" s="67"/>
      <c r="K90" s="33"/>
      <c r="L90" s="33"/>
      <c r="M90" s="33"/>
      <c r="N90" s="3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</row>
    <row r="91" spans="1:227" ht="27" customHeight="1">
      <c r="A91" s="84"/>
      <c r="B91" s="88"/>
      <c r="C91" s="72">
        <v>2023</v>
      </c>
      <c r="D91" s="15">
        <f t="shared" si="31"/>
        <v>0</v>
      </c>
      <c r="E91" s="15">
        <f t="shared" si="31"/>
        <v>0</v>
      </c>
      <c r="F91" s="15">
        <f t="shared" si="31"/>
        <v>0</v>
      </c>
      <c r="G91" s="15">
        <f t="shared" si="31"/>
        <v>0</v>
      </c>
      <c r="H91" s="15">
        <f t="shared" si="31"/>
        <v>0</v>
      </c>
      <c r="I91" s="15">
        <f>I94</f>
        <v>0</v>
      </c>
      <c r="J91" s="67"/>
      <c r="K91" s="33"/>
      <c r="L91" s="33"/>
      <c r="M91" s="33"/>
      <c r="N91" s="3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</row>
    <row r="92" spans="1:227" ht="39" customHeight="1">
      <c r="A92" s="84"/>
      <c r="B92" s="87"/>
      <c r="C92" s="72" t="s">
        <v>16</v>
      </c>
      <c r="D92" s="15">
        <f>SUM(D90:D91)</f>
        <v>0</v>
      </c>
      <c r="E92" s="15">
        <f>E95</f>
        <v>0</v>
      </c>
      <c r="F92" s="15">
        <f>F95</f>
        <v>0</v>
      </c>
      <c r="G92" s="15">
        <f>G95</f>
        <v>0</v>
      </c>
      <c r="H92" s="15">
        <f>H95</f>
        <v>0</v>
      </c>
      <c r="I92" s="15">
        <f>I95</f>
        <v>0</v>
      </c>
      <c r="J92" s="67"/>
      <c r="K92" s="33"/>
      <c r="L92" s="33"/>
      <c r="M92" s="33"/>
      <c r="N92" s="3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</row>
    <row r="93" spans="1:227">
      <c r="A93" s="77" t="s">
        <v>21</v>
      </c>
      <c r="B93" s="86"/>
      <c r="C93" s="71">
        <v>2022</v>
      </c>
      <c r="D93" s="14">
        <f>SUM(E93:I93)</f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69"/>
    </row>
    <row r="94" spans="1:227">
      <c r="A94" s="78"/>
      <c r="B94" s="88"/>
      <c r="C94" s="71">
        <v>2023</v>
      </c>
      <c r="D94" s="14">
        <f>SUM(E94:I94)</f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69"/>
    </row>
    <row r="95" spans="1:227">
      <c r="A95" s="79"/>
      <c r="B95" s="87"/>
      <c r="C95" s="71" t="s">
        <v>16</v>
      </c>
      <c r="D95" s="14">
        <f t="shared" ref="D95:I95" si="32">SUM(D93:D94)</f>
        <v>0</v>
      </c>
      <c r="E95" s="14">
        <f t="shared" si="32"/>
        <v>0</v>
      </c>
      <c r="F95" s="14">
        <f t="shared" si="32"/>
        <v>0</v>
      </c>
      <c r="G95" s="14">
        <f t="shared" si="32"/>
        <v>0</v>
      </c>
      <c r="H95" s="14">
        <f t="shared" si="32"/>
        <v>0</v>
      </c>
      <c r="I95" s="14">
        <f t="shared" si="32"/>
        <v>0</v>
      </c>
      <c r="J95" s="69"/>
    </row>
    <row r="96" spans="1:227" ht="30" customHeight="1">
      <c r="A96" s="84" t="s">
        <v>61</v>
      </c>
      <c r="B96" s="107"/>
      <c r="C96" s="72">
        <v>2022</v>
      </c>
      <c r="D96" s="15">
        <f t="shared" ref="D96:I97" si="33">D99+D102+D105+D108</f>
        <v>28732.1</v>
      </c>
      <c r="E96" s="15">
        <f t="shared" si="33"/>
        <v>0</v>
      </c>
      <c r="F96" s="15">
        <f t="shared" si="33"/>
        <v>19904.5</v>
      </c>
      <c r="G96" s="15">
        <f t="shared" si="33"/>
        <v>0</v>
      </c>
      <c r="H96" s="15">
        <f t="shared" si="33"/>
        <v>8827.6</v>
      </c>
      <c r="I96" s="15">
        <f t="shared" si="33"/>
        <v>0</v>
      </c>
      <c r="J96" s="67"/>
      <c r="K96" s="33"/>
      <c r="L96" s="33"/>
      <c r="M96" s="33"/>
      <c r="N96" s="3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</row>
    <row r="97" spans="1:227" ht="33.75" customHeight="1">
      <c r="A97" s="84"/>
      <c r="B97" s="108"/>
      <c r="C97" s="72">
        <v>2023</v>
      </c>
      <c r="D97" s="15">
        <f t="shared" si="33"/>
        <v>3189.8</v>
      </c>
      <c r="E97" s="15">
        <f t="shared" si="33"/>
        <v>0</v>
      </c>
      <c r="F97" s="15">
        <f t="shared" si="33"/>
        <v>0</v>
      </c>
      <c r="G97" s="15">
        <f t="shared" si="33"/>
        <v>0</v>
      </c>
      <c r="H97" s="15">
        <f t="shared" si="33"/>
        <v>3189.8</v>
      </c>
      <c r="I97" s="15">
        <f t="shared" si="33"/>
        <v>0</v>
      </c>
      <c r="J97" s="67"/>
      <c r="K97" s="33"/>
      <c r="L97" s="33"/>
      <c r="M97" s="33"/>
      <c r="N97" s="3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</row>
    <row r="98" spans="1:227" ht="54.75" customHeight="1">
      <c r="A98" s="84"/>
      <c r="B98" s="108"/>
      <c r="C98" s="72" t="s">
        <v>16</v>
      </c>
      <c r="D98" s="15">
        <f t="shared" ref="D98:I98" si="34">SUM(D96:D97)</f>
        <v>31921.899999999998</v>
      </c>
      <c r="E98" s="15">
        <f t="shared" si="34"/>
        <v>0</v>
      </c>
      <c r="F98" s="15">
        <f t="shared" si="34"/>
        <v>19904.5</v>
      </c>
      <c r="G98" s="15">
        <f t="shared" si="34"/>
        <v>0</v>
      </c>
      <c r="H98" s="15">
        <f t="shared" si="34"/>
        <v>12017.400000000001</v>
      </c>
      <c r="I98" s="15">
        <f t="shared" si="34"/>
        <v>0</v>
      </c>
      <c r="J98" s="67"/>
      <c r="K98" s="33"/>
      <c r="L98" s="33"/>
      <c r="M98" s="33"/>
      <c r="N98" s="3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</row>
    <row r="99" spans="1:227">
      <c r="A99" s="77" t="s">
        <v>22</v>
      </c>
      <c r="B99" s="86"/>
      <c r="C99" s="71">
        <v>2022</v>
      </c>
      <c r="D99" s="14">
        <f>SUM(E99:I99)</f>
        <v>6446.1</v>
      </c>
      <c r="E99" s="14">
        <v>0</v>
      </c>
      <c r="F99" s="14">
        <v>0</v>
      </c>
      <c r="G99" s="14">
        <v>0</v>
      </c>
      <c r="H99" s="14">
        <v>6446.1</v>
      </c>
      <c r="I99" s="14">
        <v>0</v>
      </c>
      <c r="J99" s="69"/>
    </row>
    <row r="100" spans="1:227">
      <c r="A100" s="78"/>
      <c r="B100" s="88"/>
      <c r="C100" s="71">
        <v>2023</v>
      </c>
      <c r="D100" s="14">
        <f>SUM(E100:I100)</f>
        <v>3144.8</v>
      </c>
      <c r="E100" s="14">
        <v>0</v>
      </c>
      <c r="F100" s="14">
        <v>0</v>
      </c>
      <c r="G100" s="14">
        <v>0</v>
      </c>
      <c r="H100" s="14">
        <v>3144.8</v>
      </c>
      <c r="I100" s="14">
        <v>0</v>
      </c>
      <c r="J100" s="69"/>
    </row>
    <row r="101" spans="1:227">
      <c r="A101" s="79"/>
      <c r="B101" s="87"/>
      <c r="C101" s="71" t="s">
        <v>16</v>
      </c>
      <c r="D101" s="14">
        <f t="shared" ref="D101:I101" si="35">SUM(D99:D100)</f>
        <v>9590.9000000000015</v>
      </c>
      <c r="E101" s="14">
        <f t="shared" si="35"/>
        <v>0</v>
      </c>
      <c r="F101" s="14">
        <f t="shared" si="35"/>
        <v>0</v>
      </c>
      <c r="G101" s="14">
        <f t="shared" si="35"/>
        <v>0</v>
      </c>
      <c r="H101" s="14">
        <f t="shared" si="35"/>
        <v>9590.9000000000015</v>
      </c>
      <c r="I101" s="14">
        <f t="shared" si="35"/>
        <v>0</v>
      </c>
      <c r="J101" s="69"/>
    </row>
    <row r="102" spans="1:227" s="6" customFormat="1">
      <c r="A102" s="77" t="s">
        <v>69</v>
      </c>
      <c r="B102" s="86"/>
      <c r="C102" s="71">
        <v>2022</v>
      </c>
      <c r="D102" s="14">
        <f>SUM(E102:I102)</f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69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</row>
    <row r="103" spans="1:227" s="6" customFormat="1">
      <c r="A103" s="78"/>
      <c r="B103" s="88"/>
      <c r="C103" s="71">
        <v>2023</v>
      </c>
      <c r="D103" s="14">
        <f>SUM(E103:I103)</f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69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</row>
    <row r="104" spans="1:227" s="6" customFormat="1">
      <c r="A104" s="79"/>
      <c r="B104" s="87"/>
      <c r="C104" s="71" t="s">
        <v>16</v>
      </c>
      <c r="D104" s="14">
        <f t="shared" ref="D104:I104" si="36">SUM(D102:D103)</f>
        <v>0</v>
      </c>
      <c r="E104" s="14">
        <f t="shared" si="36"/>
        <v>0</v>
      </c>
      <c r="F104" s="14">
        <f t="shared" si="36"/>
        <v>0</v>
      </c>
      <c r="G104" s="14">
        <f t="shared" si="36"/>
        <v>0</v>
      </c>
      <c r="H104" s="14">
        <f t="shared" si="36"/>
        <v>0</v>
      </c>
      <c r="I104" s="14">
        <f t="shared" si="36"/>
        <v>0</v>
      </c>
      <c r="J104" s="69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</row>
    <row r="105" spans="1:227" s="6" customFormat="1">
      <c r="A105" s="77" t="s">
        <v>0</v>
      </c>
      <c r="B105" s="86"/>
      <c r="C105" s="71">
        <v>2022</v>
      </c>
      <c r="D105" s="14">
        <f>SUM(E105:I105)</f>
        <v>650.70000000000005</v>
      </c>
      <c r="E105" s="14">
        <v>0</v>
      </c>
      <c r="F105" s="14">
        <v>0</v>
      </c>
      <c r="G105" s="14">
        <v>0</v>
      </c>
      <c r="H105" s="14">
        <v>650.70000000000005</v>
      </c>
      <c r="I105" s="14">
        <v>0</v>
      </c>
      <c r="J105" s="69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</row>
    <row r="106" spans="1:227" s="6" customFormat="1">
      <c r="A106" s="78"/>
      <c r="B106" s="88"/>
      <c r="C106" s="71">
        <v>2023</v>
      </c>
      <c r="D106" s="14">
        <f>SUM(E106:I106)</f>
        <v>45</v>
      </c>
      <c r="E106" s="14">
        <v>0</v>
      </c>
      <c r="F106" s="14">
        <v>0</v>
      </c>
      <c r="G106" s="14">
        <v>0</v>
      </c>
      <c r="H106" s="14">
        <v>45</v>
      </c>
      <c r="I106" s="14">
        <v>0</v>
      </c>
      <c r="J106" s="69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</row>
    <row r="107" spans="1:227" s="6" customFormat="1">
      <c r="A107" s="79"/>
      <c r="B107" s="87"/>
      <c r="C107" s="71" t="s">
        <v>16</v>
      </c>
      <c r="D107" s="14">
        <f t="shared" ref="D107:I107" si="37">SUM(D105:D106)</f>
        <v>695.7</v>
      </c>
      <c r="E107" s="14">
        <f t="shared" si="37"/>
        <v>0</v>
      </c>
      <c r="F107" s="14">
        <f t="shared" si="37"/>
        <v>0</v>
      </c>
      <c r="G107" s="14">
        <f t="shared" si="37"/>
        <v>0</v>
      </c>
      <c r="H107" s="14">
        <f t="shared" si="37"/>
        <v>695.7</v>
      </c>
      <c r="I107" s="14">
        <f t="shared" si="37"/>
        <v>0</v>
      </c>
      <c r="J107" s="69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</row>
    <row r="108" spans="1:227" s="6" customFormat="1">
      <c r="A108" s="77" t="s">
        <v>23</v>
      </c>
      <c r="B108" s="86"/>
      <c r="C108" s="71">
        <v>2022</v>
      </c>
      <c r="D108" s="14">
        <f>SUM(E108:I108)</f>
        <v>21635.3</v>
      </c>
      <c r="E108" s="14">
        <v>0</v>
      </c>
      <c r="F108" s="14">
        <v>19904.5</v>
      </c>
      <c r="G108" s="14">
        <v>0</v>
      </c>
      <c r="H108" s="14">
        <v>1730.8</v>
      </c>
      <c r="I108" s="14">
        <v>0</v>
      </c>
      <c r="J108" s="69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</row>
    <row r="109" spans="1:227" s="6" customFormat="1">
      <c r="A109" s="78"/>
      <c r="B109" s="88"/>
      <c r="C109" s="71">
        <v>2023</v>
      </c>
      <c r="D109" s="14">
        <f>SUM(E109:I109)</f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69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</row>
    <row r="110" spans="1:227" s="6" customFormat="1">
      <c r="A110" s="79"/>
      <c r="B110" s="87"/>
      <c r="C110" s="71" t="s">
        <v>16</v>
      </c>
      <c r="D110" s="14">
        <f t="shared" ref="D110:I110" si="38">SUM(D108:D109)</f>
        <v>21635.3</v>
      </c>
      <c r="E110" s="14">
        <f t="shared" si="38"/>
        <v>0</v>
      </c>
      <c r="F110" s="14">
        <f t="shared" si="38"/>
        <v>19904.5</v>
      </c>
      <c r="G110" s="14">
        <f t="shared" si="38"/>
        <v>0</v>
      </c>
      <c r="H110" s="14">
        <f t="shared" si="38"/>
        <v>1730.8</v>
      </c>
      <c r="I110" s="14">
        <f t="shared" si="38"/>
        <v>0</v>
      </c>
      <c r="J110" s="69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</row>
    <row r="111" spans="1:227" s="6" customFormat="1">
      <c r="A111" s="84" t="s">
        <v>62</v>
      </c>
      <c r="B111" s="86"/>
      <c r="C111" s="72">
        <v>2022</v>
      </c>
      <c r="D111" s="15">
        <f t="shared" ref="D111:H112" si="39">D114</f>
        <v>0</v>
      </c>
      <c r="E111" s="15">
        <f t="shared" si="39"/>
        <v>0</v>
      </c>
      <c r="F111" s="15">
        <f t="shared" si="39"/>
        <v>0</v>
      </c>
      <c r="G111" s="15">
        <f t="shared" si="39"/>
        <v>0</v>
      </c>
      <c r="H111" s="15">
        <f t="shared" si="39"/>
        <v>0</v>
      </c>
      <c r="I111" s="15">
        <v>0</v>
      </c>
      <c r="J111" s="67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</row>
    <row r="112" spans="1:227" s="6" customFormat="1">
      <c r="A112" s="84"/>
      <c r="B112" s="88"/>
      <c r="C112" s="72">
        <v>2023</v>
      </c>
      <c r="D112" s="15">
        <f t="shared" si="39"/>
        <v>7191.3</v>
      </c>
      <c r="E112" s="15">
        <f t="shared" si="39"/>
        <v>0</v>
      </c>
      <c r="F112" s="15">
        <f t="shared" si="39"/>
        <v>0</v>
      </c>
      <c r="G112" s="15">
        <f t="shared" si="39"/>
        <v>0</v>
      </c>
      <c r="H112" s="15">
        <f t="shared" si="39"/>
        <v>7191.3</v>
      </c>
      <c r="I112" s="15">
        <f>I115</f>
        <v>0</v>
      </c>
      <c r="J112" s="67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</row>
    <row r="113" spans="1:227" s="6" customFormat="1">
      <c r="A113" s="84"/>
      <c r="B113" s="87"/>
      <c r="C113" s="72" t="s">
        <v>16</v>
      </c>
      <c r="D113" s="15">
        <f t="shared" ref="D113:I113" si="40">SUM(D111:D112)</f>
        <v>7191.3</v>
      </c>
      <c r="E113" s="15">
        <f t="shared" si="40"/>
        <v>0</v>
      </c>
      <c r="F113" s="15">
        <f t="shared" si="40"/>
        <v>0</v>
      </c>
      <c r="G113" s="15">
        <f t="shared" si="40"/>
        <v>0</v>
      </c>
      <c r="H113" s="15">
        <f t="shared" si="40"/>
        <v>7191.3</v>
      </c>
      <c r="I113" s="15">
        <f t="shared" si="40"/>
        <v>0</v>
      </c>
      <c r="J113" s="67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</row>
    <row r="114" spans="1:227" s="6" customFormat="1">
      <c r="A114" s="77" t="s">
        <v>24</v>
      </c>
      <c r="B114" s="86"/>
      <c r="C114" s="71">
        <v>2022</v>
      </c>
      <c r="D114" s="14">
        <f>SUM(E114:I114)</f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69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</row>
    <row r="115" spans="1:227" s="6" customFormat="1" ht="20.25" customHeight="1">
      <c r="A115" s="78"/>
      <c r="B115" s="88"/>
      <c r="C115" s="71">
        <v>2023</v>
      </c>
      <c r="D115" s="14">
        <f>SUM(E115:I115)</f>
        <v>7191.3</v>
      </c>
      <c r="E115" s="14">
        <v>0</v>
      </c>
      <c r="F115" s="14">
        <v>0</v>
      </c>
      <c r="G115" s="14">
        <v>0</v>
      </c>
      <c r="H115" s="14">
        <v>7191.3</v>
      </c>
      <c r="I115" s="14">
        <v>0</v>
      </c>
      <c r="J115" s="69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</row>
    <row r="116" spans="1:227" s="6" customFormat="1" ht="18" customHeight="1">
      <c r="A116" s="79"/>
      <c r="B116" s="87"/>
      <c r="C116" s="71" t="s">
        <v>16</v>
      </c>
      <c r="D116" s="14">
        <f t="shared" ref="D116:I116" si="41">SUM(D114:D115)</f>
        <v>7191.3</v>
      </c>
      <c r="E116" s="14">
        <f t="shared" si="41"/>
        <v>0</v>
      </c>
      <c r="F116" s="14">
        <f t="shared" si="41"/>
        <v>0</v>
      </c>
      <c r="G116" s="14">
        <f t="shared" si="41"/>
        <v>0</v>
      </c>
      <c r="H116" s="14">
        <f t="shared" si="41"/>
        <v>7191.3</v>
      </c>
      <c r="I116" s="14">
        <f t="shared" si="41"/>
        <v>0</v>
      </c>
      <c r="J116" s="69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</row>
    <row r="117" spans="1:227" s="6" customFormat="1" ht="18" customHeight="1">
      <c r="A117" s="84" t="s">
        <v>63</v>
      </c>
      <c r="B117" s="86"/>
      <c r="C117" s="72">
        <v>2022</v>
      </c>
      <c r="D117" s="15">
        <f t="shared" ref="D117:H118" si="42">D120</f>
        <v>0</v>
      </c>
      <c r="E117" s="15">
        <f t="shared" si="42"/>
        <v>0</v>
      </c>
      <c r="F117" s="15">
        <f t="shared" si="42"/>
        <v>0</v>
      </c>
      <c r="G117" s="15">
        <f t="shared" si="42"/>
        <v>0</v>
      </c>
      <c r="H117" s="15">
        <f t="shared" si="42"/>
        <v>0</v>
      </c>
      <c r="I117" s="15">
        <v>0</v>
      </c>
      <c r="J117" s="67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</row>
    <row r="118" spans="1:227" s="6" customFormat="1" ht="18" customHeight="1">
      <c r="A118" s="84"/>
      <c r="B118" s="88"/>
      <c r="C118" s="72">
        <v>2023</v>
      </c>
      <c r="D118" s="15">
        <f t="shared" si="42"/>
        <v>0</v>
      </c>
      <c r="E118" s="15">
        <f t="shared" si="42"/>
        <v>0</v>
      </c>
      <c r="F118" s="15">
        <f t="shared" si="42"/>
        <v>0</v>
      </c>
      <c r="G118" s="15">
        <f t="shared" si="42"/>
        <v>0</v>
      </c>
      <c r="H118" s="15">
        <f t="shared" si="42"/>
        <v>0</v>
      </c>
      <c r="I118" s="15">
        <f>I121</f>
        <v>0</v>
      </c>
      <c r="J118" s="67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</row>
    <row r="119" spans="1:227" s="6" customFormat="1" ht="45" customHeight="1">
      <c r="A119" s="84"/>
      <c r="B119" s="87"/>
      <c r="C119" s="72" t="s">
        <v>16</v>
      </c>
      <c r="D119" s="15">
        <f t="shared" ref="D119:I119" si="43">SUM(D117:D118)</f>
        <v>0</v>
      </c>
      <c r="E119" s="15">
        <f t="shared" si="43"/>
        <v>0</v>
      </c>
      <c r="F119" s="15">
        <f t="shared" si="43"/>
        <v>0</v>
      </c>
      <c r="G119" s="15">
        <f t="shared" si="43"/>
        <v>0</v>
      </c>
      <c r="H119" s="15">
        <f t="shared" si="43"/>
        <v>0</v>
      </c>
      <c r="I119" s="15">
        <f t="shared" si="43"/>
        <v>0</v>
      </c>
      <c r="J119" s="67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</row>
    <row r="120" spans="1:227" s="6" customFormat="1" ht="18" customHeight="1">
      <c r="A120" s="77" t="s">
        <v>25</v>
      </c>
      <c r="B120" s="86"/>
      <c r="C120" s="71">
        <v>2022</v>
      </c>
      <c r="D120" s="14">
        <f>SUM(E120:I120)</f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69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</row>
    <row r="121" spans="1:227" s="6" customFormat="1" ht="24" customHeight="1">
      <c r="A121" s="78"/>
      <c r="B121" s="88"/>
      <c r="C121" s="71">
        <v>2023</v>
      </c>
      <c r="D121" s="14">
        <f>SUM(E121:I121)</f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69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</row>
    <row r="122" spans="1:227" s="6" customFormat="1" ht="33" customHeight="1">
      <c r="A122" s="79"/>
      <c r="B122" s="87"/>
      <c r="C122" s="71" t="s">
        <v>16</v>
      </c>
      <c r="D122" s="14">
        <f t="shared" ref="D122:I122" si="44">SUM(D120:D121)</f>
        <v>0</v>
      </c>
      <c r="E122" s="14">
        <f t="shared" si="44"/>
        <v>0</v>
      </c>
      <c r="F122" s="14">
        <f t="shared" si="44"/>
        <v>0</v>
      </c>
      <c r="G122" s="14">
        <f t="shared" si="44"/>
        <v>0</v>
      </c>
      <c r="H122" s="14">
        <f t="shared" si="44"/>
        <v>0</v>
      </c>
      <c r="I122" s="14">
        <f t="shared" si="44"/>
        <v>0</v>
      </c>
      <c r="J122" s="69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</row>
    <row r="123" spans="1:227" s="6" customFormat="1" ht="18" customHeight="1">
      <c r="A123" s="84" t="s">
        <v>64</v>
      </c>
      <c r="B123" s="104"/>
      <c r="C123" s="72">
        <v>2024</v>
      </c>
      <c r="D123" s="22">
        <f>D129</f>
        <v>3000</v>
      </c>
      <c r="E123" s="22">
        <f t="shared" ref="E123:I125" si="45">E129</f>
        <v>0</v>
      </c>
      <c r="F123" s="22">
        <f t="shared" si="45"/>
        <v>0</v>
      </c>
      <c r="G123" s="22">
        <f t="shared" si="45"/>
        <v>0</v>
      </c>
      <c r="H123" s="22">
        <f t="shared" si="45"/>
        <v>3000</v>
      </c>
      <c r="I123" s="22">
        <f t="shared" si="45"/>
        <v>0</v>
      </c>
      <c r="J123" s="67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</row>
    <row r="124" spans="1:227" s="6" customFormat="1" ht="18" customHeight="1">
      <c r="A124" s="84"/>
      <c r="B124" s="105"/>
      <c r="C124" s="72">
        <v>2025</v>
      </c>
      <c r="D124" s="22">
        <f>D130</f>
        <v>6575.9</v>
      </c>
      <c r="E124" s="22">
        <f t="shared" si="45"/>
        <v>0</v>
      </c>
      <c r="F124" s="22">
        <f t="shared" si="45"/>
        <v>0</v>
      </c>
      <c r="G124" s="22">
        <f t="shared" si="45"/>
        <v>0</v>
      </c>
      <c r="H124" s="22">
        <f>H130</f>
        <v>6575.9</v>
      </c>
      <c r="I124" s="22">
        <f>I130</f>
        <v>0</v>
      </c>
      <c r="J124" s="67"/>
      <c r="K124" s="36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</row>
    <row r="125" spans="1:227" s="6" customFormat="1" ht="18" customHeight="1">
      <c r="A125" s="84"/>
      <c r="B125" s="105"/>
      <c r="C125" s="72">
        <v>2026</v>
      </c>
      <c r="D125" s="22">
        <f>D131</f>
        <v>16512</v>
      </c>
      <c r="E125" s="22">
        <f t="shared" si="45"/>
        <v>0</v>
      </c>
      <c r="F125" s="22">
        <f t="shared" si="45"/>
        <v>0</v>
      </c>
      <c r="G125" s="22">
        <f t="shared" si="45"/>
        <v>0</v>
      </c>
      <c r="H125" s="22">
        <f t="shared" si="45"/>
        <v>16512</v>
      </c>
      <c r="I125" s="22">
        <f t="shared" si="45"/>
        <v>0</v>
      </c>
      <c r="J125" s="67"/>
      <c r="K125" s="36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</row>
    <row r="126" spans="1:227" s="6" customFormat="1" ht="18" customHeight="1">
      <c r="A126" s="84"/>
      <c r="B126" s="105"/>
      <c r="C126" s="72">
        <v>2027</v>
      </c>
      <c r="D126" s="22">
        <f>SUM(E126:I126)</f>
        <v>31308</v>
      </c>
      <c r="E126" s="22">
        <f t="shared" ref="E126:I126" si="46">E132+E139</f>
        <v>0</v>
      </c>
      <c r="F126" s="22">
        <f t="shared" si="46"/>
        <v>0</v>
      </c>
      <c r="G126" s="22">
        <f t="shared" si="46"/>
        <v>0</v>
      </c>
      <c r="H126" s="22">
        <f t="shared" si="46"/>
        <v>31308</v>
      </c>
      <c r="I126" s="22">
        <f t="shared" si="46"/>
        <v>0</v>
      </c>
      <c r="J126" s="67"/>
      <c r="K126" s="36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</row>
    <row r="127" spans="1:227" s="6" customFormat="1" ht="18" customHeight="1">
      <c r="A127" s="84"/>
      <c r="B127" s="105"/>
      <c r="C127" s="72">
        <v>2028</v>
      </c>
      <c r="D127" s="22">
        <f>SUM(E127:I127)</f>
        <v>21328</v>
      </c>
      <c r="E127" s="22">
        <f t="shared" ref="E127:H127" si="47">E140</f>
        <v>0</v>
      </c>
      <c r="F127" s="22">
        <f t="shared" si="47"/>
        <v>0</v>
      </c>
      <c r="G127" s="22">
        <f t="shared" si="47"/>
        <v>0</v>
      </c>
      <c r="H127" s="22">
        <f t="shared" si="47"/>
        <v>21328</v>
      </c>
      <c r="I127" s="22">
        <f>I140</f>
        <v>0</v>
      </c>
      <c r="J127" s="67"/>
      <c r="K127" s="36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</row>
    <row r="128" spans="1:227" s="6" customFormat="1" ht="18" customHeight="1">
      <c r="A128" s="84"/>
      <c r="B128" s="106"/>
      <c r="C128" s="72" t="s">
        <v>16</v>
      </c>
      <c r="D128" s="15">
        <f>SUM(D123:D127)</f>
        <v>78723.899999999994</v>
      </c>
      <c r="E128" s="15">
        <f t="shared" ref="E128:H128" si="48">SUM(E123:E127)</f>
        <v>0</v>
      </c>
      <c r="F128" s="15">
        <f t="shared" si="48"/>
        <v>0</v>
      </c>
      <c r="G128" s="15">
        <f t="shared" si="48"/>
        <v>0</v>
      </c>
      <c r="H128" s="15">
        <f t="shared" si="48"/>
        <v>78723.899999999994</v>
      </c>
      <c r="I128" s="15">
        <f>SUM(I123:I127)</f>
        <v>0</v>
      </c>
      <c r="J128" s="67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</row>
    <row r="129" spans="1:227" s="6" customFormat="1" ht="23.45" customHeight="1">
      <c r="A129" s="84" t="s">
        <v>80</v>
      </c>
      <c r="B129" s="86"/>
      <c r="C129" s="72">
        <v>2024</v>
      </c>
      <c r="D129" s="15">
        <f t="shared" ref="D129:H132" si="49">D134</f>
        <v>3000</v>
      </c>
      <c r="E129" s="15">
        <f t="shared" si="49"/>
        <v>0</v>
      </c>
      <c r="F129" s="15">
        <f t="shared" si="49"/>
        <v>0</v>
      </c>
      <c r="G129" s="15">
        <f t="shared" si="49"/>
        <v>0</v>
      </c>
      <c r="H129" s="15">
        <f t="shared" si="49"/>
        <v>3000</v>
      </c>
      <c r="I129" s="15">
        <f>I134</f>
        <v>0</v>
      </c>
      <c r="J129" s="67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</row>
    <row r="130" spans="1:227" s="6" customFormat="1" ht="23.45" customHeight="1">
      <c r="A130" s="84"/>
      <c r="B130" s="88"/>
      <c r="C130" s="72">
        <v>2025</v>
      </c>
      <c r="D130" s="15">
        <f t="shared" si="49"/>
        <v>6575.9</v>
      </c>
      <c r="E130" s="15">
        <f t="shared" si="49"/>
        <v>0</v>
      </c>
      <c r="F130" s="15">
        <f t="shared" si="49"/>
        <v>0</v>
      </c>
      <c r="G130" s="15">
        <f t="shared" si="49"/>
        <v>0</v>
      </c>
      <c r="H130" s="15">
        <f t="shared" si="49"/>
        <v>6575.9</v>
      </c>
      <c r="I130" s="15">
        <f>I135</f>
        <v>0</v>
      </c>
      <c r="J130" s="67"/>
      <c r="K130" s="36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</row>
    <row r="131" spans="1:227" s="6" customFormat="1" ht="23.45" customHeight="1">
      <c r="A131" s="84"/>
      <c r="B131" s="88"/>
      <c r="C131" s="72">
        <v>2026</v>
      </c>
      <c r="D131" s="15">
        <f t="shared" si="49"/>
        <v>16512</v>
      </c>
      <c r="E131" s="15">
        <f t="shared" si="49"/>
        <v>0</v>
      </c>
      <c r="F131" s="15">
        <f t="shared" si="49"/>
        <v>0</v>
      </c>
      <c r="G131" s="15">
        <f t="shared" si="49"/>
        <v>0</v>
      </c>
      <c r="H131" s="15">
        <f t="shared" si="49"/>
        <v>16512</v>
      </c>
      <c r="I131" s="15">
        <f>I136</f>
        <v>0</v>
      </c>
      <c r="J131" s="67"/>
      <c r="K131" s="36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</row>
    <row r="132" spans="1:227" s="6" customFormat="1" ht="23.45" customHeight="1">
      <c r="A132" s="84"/>
      <c r="B132" s="88"/>
      <c r="C132" s="72">
        <v>2027</v>
      </c>
      <c r="D132" s="15">
        <f t="shared" si="49"/>
        <v>9980</v>
      </c>
      <c r="E132" s="15">
        <f t="shared" si="49"/>
        <v>0</v>
      </c>
      <c r="F132" s="15">
        <f t="shared" si="49"/>
        <v>0</v>
      </c>
      <c r="G132" s="15">
        <f t="shared" si="49"/>
        <v>0</v>
      </c>
      <c r="H132" s="15">
        <f t="shared" si="49"/>
        <v>9980</v>
      </c>
      <c r="I132" s="15">
        <f>I137</f>
        <v>0</v>
      </c>
      <c r="J132" s="67"/>
      <c r="K132" s="36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</row>
    <row r="133" spans="1:227" s="6" customFormat="1" ht="52.5" customHeight="1">
      <c r="A133" s="84"/>
      <c r="B133" s="87"/>
      <c r="C133" s="72" t="s">
        <v>16</v>
      </c>
      <c r="D133" s="15">
        <f>SUM(D129:D132)</f>
        <v>36067.9</v>
      </c>
      <c r="E133" s="15">
        <f t="shared" ref="E133:I133" si="50">SUM(E129:E132)</f>
        <v>0</v>
      </c>
      <c r="F133" s="15">
        <f t="shared" si="50"/>
        <v>0</v>
      </c>
      <c r="G133" s="15">
        <f t="shared" si="50"/>
        <v>0</v>
      </c>
      <c r="H133" s="15">
        <f t="shared" si="50"/>
        <v>36067.9</v>
      </c>
      <c r="I133" s="15">
        <f t="shared" si="50"/>
        <v>0</v>
      </c>
      <c r="J133" s="67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</row>
    <row r="134" spans="1:227" s="6" customFormat="1" ht="18" customHeight="1">
      <c r="A134" s="77" t="s">
        <v>0</v>
      </c>
      <c r="B134" s="86"/>
      <c r="C134" s="71">
        <v>2024</v>
      </c>
      <c r="D134" s="14">
        <f>SUM(E134:I134)</f>
        <v>3000</v>
      </c>
      <c r="E134" s="14">
        <v>0</v>
      </c>
      <c r="F134" s="14">
        <v>0</v>
      </c>
      <c r="G134" s="14">
        <v>0</v>
      </c>
      <c r="H134" s="14">
        <v>3000</v>
      </c>
      <c r="I134" s="14">
        <v>0</v>
      </c>
      <c r="J134" s="69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</row>
    <row r="135" spans="1:227" s="6" customFormat="1" ht="18" customHeight="1">
      <c r="A135" s="78"/>
      <c r="B135" s="88"/>
      <c r="C135" s="71">
        <v>2025</v>
      </c>
      <c r="D135" s="14">
        <f>SUM(E135:I135)</f>
        <v>6575.9</v>
      </c>
      <c r="E135" s="14">
        <v>0</v>
      </c>
      <c r="F135" s="14">
        <v>0</v>
      </c>
      <c r="G135" s="14">
        <v>0</v>
      </c>
      <c r="H135" s="14">
        <v>6575.9</v>
      </c>
      <c r="I135" s="14">
        <v>0</v>
      </c>
      <c r="J135" s="69"/>
      <c r="K135" s="37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</row>
    <row r="136" spans="1:227" s="6" customFormat="1" ht="18" customHeight="1">
      <c r="A136" s="78"/>
      <c r="B136" s="88"/>
      <c r="C136" s="71">
        <v>2026</v>
      </c>
      <c r="D136" s="14">
        <f>SUM(E136:I136)</f>
        <v>16512</v>
      </c>
      <c r="E136" s="14">
        <v>0</v>
      </c>
      <c r="F136" s="14">
        <v>0</v>
      </c>
      <c r="G136" s="14">
        <v>0</v>
      </c>
      <c r="H136" s="14">
        <f>6907.5+3072.5+6532</f>
        <v>16512</v>
      </c>
      <c r="I136" s="14">
        <v>0</v>
      </c>
      <c r="J136" s="70"/>
      <c r="K136" s="40"/>
      <c r="L136" s="40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</row>
    <row r="137" spans="1:227" s="6" customFormat="1" ht="18" customHeight="1">
      <c r="A137" s="78"/>
      <c r="B137" s="88"/>
      <c r="C137" s="71">
        <v>2027</v>
      </c>
      <c r="D137" s="14">
        <f>SUM(E137:I137)</f>
        <v>9980</v>
      </c>
      <c r="E137" s="14">
        <v>0</v>
      </c>
      <c r="F137" s="14">
        <v>0</v>
      </c>
      <c r="G137" s="14">
        <v>0</v>
      </c>
      <c r="H137" s="14">
        <v>9980</v>
      </c>
      <c r="I137" s="14">
        <v>0</v>
      </c>
      <c r="J137" s="70"/>
      <c r="K137" s="37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</row>
    <row r="138" spans="1:227" s="6" customFormat="1" ht="18" customHeight="1">
      <c r="A138" s="79"/>
      <c r="B138" s="87"/>
      <c r="C138" s="71" t="s">
        <v>16</v>
      </c>
      <c r="D138" s="14">
        <f>SUM(D134:D137)</f>
        <v>36067.9</v>
      </c>
      <c r="E138" s="14">
        <f t="shared" ref="E138:I138" si="51">SUM(E134:E137)</f>
        <v>0</v>
      </c>
      <c r="F138" s="14">
        <f t="shared" si="51"/>
        <v>0</v>
      </c>
      <c r="G138" s="14">
        <f t="shared" si="51"/>
        <v>0</v>
      </c>
      <c r="H138" s="14">
        <f t="shared" si="51"/>
        <v>36067.9</v>
      </c>
      <c r="I138" s="14">
        <f t="shared" si="51"/>
        <v>0</v>
      </c>
      <c r="J138" s="69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</row>
    <row r="139" spans="1:227" s="6" customFormat="1" ht="25.5" customHeight="1">
      <c r="A139" s="81" t="s">
        <v>95</v>
      </c>
      <c r="B139" s="86"/>
      <c r="C139" s="72">
        <v>2027</v>
      </c>
      <c r="D139" s="15">
        <f t="shared" ref="D139:H140" si="52">D142</f>
        <v>21328</v>
      </c>
      <c r="E139" s="15">
        <f t="shared" si="52"/>
        <v>0</v>
      </c>
      <c r="F139" s="15">
        <f t="shared" si="52"/>
        <v>0</v>
      </c>
      <c r="G139" s="15">
        <f t="shared" si="52"/>
        <v>0</v>
      </c>
      <c r="H139" s="15">
        <f t="shared" si="52"/>
        <v>21328</v>
      </c>
      <c r="I139" s="15">
        <f>I142</f>
        <v>0</v>
      </c>
      <c r="J139" s="67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</row>
    <row r="140" spans="1:227" s="6" customFormat="1" ht="25.5" customHeight="1">
      <c r="A140" s="85"/>
      <c r="B140" s="88"/>
      <c r="C140" s="72">
        <v>2028</v>
      </c>
      <c r="D140" s="15">
        <f>SUM(E140:I140)</f>
        <v>21328</v>
      </c>
      <c r="E140" s="15">
        <f t="shared" si="52"/>
        <v>0</v>
      </c>
      <c r="F140" s="15">
        <f t="shared" si="52"/>
        <v>0</v>
      </c>
      <c r="G140" s="15">
        <f t="shared" si="52"/>
        <v>0</v>
      </c>
      <c r="H140" s="15">
        <f t="shared" si="52"/>
        <v>21328</v>
      </c>
      <c r="I140" s="15">
        <f>I143</f>
        <v>0</v>
      </c>
      <c r="J140" s="67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</row>
    <row r="141" spans="1:227" s="6" customFormat="1" ht="27" customHeight="1">
      <c r="A141" s="82"/>
      <c r="B141" s="87"/>
      <c r="C141" s="72" t="s">
        <v>16</v>
      </c>
      <c r="D141" s="15">
        <f>SUM(D139:D140)</f>
        <v>42656</v>
      </c>
      <c r="E141" s="15">
        <f t="shared" ref="E141:H141" si="53">SUM(E139:E140)</f>
        <v>0</v>
      </c>
      <c r="F141" s="15">
        <f t="shared" si="53"/>
        <v>0</v>
      </c>
      <c r="G141" s="15">
        <f t="shared" si="53"/>
        <v>0</v>
      </c>
      <c r="H141" s="15">
        <f t="shared" si="53"/>
        <v>42656</v>
      </c>
      <c r="I141" s="15">
        <f>SUM(I139:I140)</f>
        <v>0</v>
      </c>
      <c r="J141" s="67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</row>
    <row r="142" spans="1:227" s="6" customFormat="1" ht="18" customHeight="1">
      <c r="A142" s="77" t="s">
        <v>33</v>
      </c>
      <c r="B142" s="86"/>
      <c r="C142" s="71">
        <v>2027</v>
      </c>
      <c r="D142" s="14">
        <f>SUM(E142:I142)</f>
        <v>21328</v>
      </c>
      <c r="E142" s="14">
        <v>0</v>
      </c>
      <c r="F142" s="14">
        <v>0</v>
      </c>
      <c r="G142" s="14">
        <v>0</v>
      </c>
      <c r="H142" s="14">
        <v>21328</v>
      </c>
      <c r="I142" s="14">
        <v>0</v>
      </c>
      <c r="J142" s="69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</row>
    <row r="143" spans="1:227" s="6" customFormat="1" ht="18" customHeight="1">
      <c r="A143" s="78"/>
      <c r="B143" s="88"/>
      <c r="C143" s="71">
        <v>2028</v>
      </c>
      <c r="D143" s="14">
        <f>SUM(E143:I143)</f>
        <v>21328</v>
      </c>
      <c r="E143" s="14">
        <v>0</v>
      </c>
      <c r="F143" s="14">
        <v>0</v>
      </c>
      <c r="G143" s="14">
        <v>0</v>
      </c>
      <c r="H143" s="14">
        <v>21328</v>
      </c>
      <c r="I143" s="14">
        <v>0</v>
      </c>
      <c r="J143" s="69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</row>
    <row r="144" spans="1:227" s="6" customFormat="1" ht="24.75" customHeight="1">
      <c r="A144" s="79"/>
      <c r="B144" s="87"/>
      <c r="C144" s="71" t="s">
        <v>16</v>
      </c>
      <c r="D144" s="14">
        <f>SUM(D142:D143)</f>
        <v>42656</v>
      </c>
      <c r="E144" s="14">
        <f t="shared" ref="E144:H144" si="54">SUM(E142:E143)</f>
        <v>0</v>
      </c>
      <c r="F144" s="14">
        <f t="shared" si="54"/>
        <v>0</v>
      </c>
      <c r="G144" s="14">
        <f t="shared" si="54"/>
        <v>0</v>
      </c>
      <c r="H144" s="14">
        <f t="shared" si="54"/>
        <v>42656</v>
      </c>
      <c r="I144" s="14">
        <f>SUM(I142:I143)</f>
        <v>0</v>
      </c>
      <c r="J144" s="69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</row>
    <row r="145" spans="1:227" s="6" customFormat="1" ht="18" customHeight="1">
      <c r="A145" s="81" t="s">
        <v>56</v>
      </c>
      <c r="B145" s="104"/>
      <c r="C145" s="72">
        <v>2024</v>
      </c>
      <c r="D145" s="22">
        <f t="shared" ref="D145:I145" si="55">D149+D158+D164+D172</f>
        <v>53744.4</v>
      </c>
      <c r="E145" s="22">
        <f t="shared" si="55"/>
        <v>729.8</v>
      </c>
      <c r="F145" s="22">
        <f t="shared" si="55"/>
        <v>41661.199999999997</v>
      </c>
      <c r="G145" s="22">
        <f t="shared" si="55"/>
        <v>9953.9</v>
      </c>
      <c r="H145" s="22">
        <f t="shared" si="55"/>
        <v>1399.5</v>
      </c>
      <c r="I145" s="22">
        <f t="shared" si="55"/>
        <v>0</v>
      </c>
      <c r="J145" s="67"/>
      <c r="L145" s="47"/>
      <c r="M145" s="3"/>
      <c r="N145" s="47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</row>
    <row r="146" spans="1:227" s="6" customFormat="1" ht="18" customHeight="1">
      <c r="A146" s="85"/>
      <c r="B146" s="105"/>
      <c r="C146" s="72">
        <v>2025</v>
      </c>
      <c r="D146" s="22">
        <f>SUM(E146:I146)</f>
        <v>15112.099999999999</v>
      </c>
      <c r="E146" s="22">
        <f>E150+E165</f>
        <v>249.5</v>
      </c>
      <c r="F146" s="22">
        <f>F150+F165</f>
        <v>13681.8</v>
      </c>
      <c r="G146" s="22">
        <f>G150+G165</f>
        <v>381.4</v>
      </c>
      <c r="H146" s="22">
        <f>H150+H165</f>
        <v>799.4</v>
      </c>
      <c r="I146" s="22">
        <f>I150+I165</f>
        <v>0</v>
      </c>
      <c r="J146" s="67"/>
      <c r="K146" s="36"/>
      <c r="L146" s="44"/>
      <c r="M146" s="44"/>
      <c r="N146" s="44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</row>
    <row r="147" spans="1:227" s="6" customFormat="1" ht="18" customHeight="1">
      <c r="A147" s="85"/>
      <c r="B147" s="105"/>
      <c r="C147" s="72">
        <v>2026</v>
      </c>
      <c r="D147" s="22">
        <f t="shared" ref="D147:H147" si="56">D159+D166</f>
        <v>135167.80000000002</v>
      </c>
      <c r="E147" s="22">
        <f t="shared" si="56"/>
        <v>1465.8</v>
      </c>
      <c r="F147" s="22">
        <f t="shared" si="56"/>
        <v>40379.4</v>
      </c>
      <c r="G147" s="22">
        <f t="shared" si="56"/>
        <v>92151.1</v>
      </c>
      <c r="H147" s="22">
        <f t="shared" si="56"/>
        <v>1171.5</v>
      </c>
      <c r="I147" s="22">
        <f>I159+I166</f>
        <v>0</v>
      </c>
      <c r="J147" s="67"/>
      <c r="K147" s="3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</row>
    <row r="148" spans="1:227" s="6" customFormat="1" ht="18" customHeight="1">
      <c r="A148" s="82"/>
      <c r="B148" s="106"/>
      <c r="C148" s="72" t="s">
        <v>16</v>
      </c>
      <c r="D148" s="15">
        <f t="shared" ref="D148:I148" si="57">SUM(D145:D147)</f>
        <v>204024.30000000002</v>
      </c>
      <c r="E148" s="15">
        <f t="shared" si="57"/>
        <v>2445.1</v>
      </c>
      <c r="F148" s="15">
        <f t="shared" si="57"/>
        <v>95722.4</v>
      </c>
      <c r="G148" s="15">
        <f t="shared" si="57"/>
        <v>102486.40000000001</v>
      </c>
      <c r="H148" s="15">
        <f t="shared" si="57"/>
        <v>3370.4</v>
      </c>
      <c r="I148" s="15">
        <f t="shared" si="57"/>
        <v>0</v>
      </c>
      <c r="J148" s="67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</row>
    <row r="149" spans="1:227" s="6" customFormat="1" ht="18" customHeight="1">
      <c r="A149" s="81" t="s">
        <v>26</v>
      </c>
      <c r="B149" s="86"/>
      <c r="C149" s="72">
        <v>2024</v>
      </c>
      <c r="D149" s="15">
        <f t="shared" ref="D149:I150" si="58">D152+D155</f>
        <v>4904.1000000000004</v>
      </c>
      <c r="E149" s="15">
        <f t="shared" si="58"/>
        <v>0</v>
      </c>
      <c r="F149" s="15">
        <f t="shared" si="58"/>
        <v>4560.8</v>
      </c>
      <c r="G149" s="15">
        <f t="shared" si="58"/>
        <v>0</v>
      </c>
      <c r="H149" s="15">
        <f t="shared" si="58"/>
        <v>343.3</v>
      </c>
      <c r="I149" s="15">
        <f t="shared" si="58"/>
        <v>0</v>
      </c>
      <c r="J149" s="67"/>
      <c r="L149" s="47"/>
      <c r="M149" s="3"/>
      <c r="N149" s="47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</row>
    <row r="150" spans="1:227" s="6" customFormat="1" ht="18" customHeight="1">
      <c r="A150" s="85"/>
      <c r="B150" s="88"/>
      <c r="C150" s="72">
        <v>2025</v>
      </c>
      <c r="D150" s="15">
        <f t="shared" si="58"/>
        <v>12330.4</v>
      </c>
      <c r="E150" s="15">
        <f t="shared" si="58"/>
        <v>0</v>
      </c>
      <c r="F150" s="15">
        <f t="shared" si="58"/>
        <v>11949</v>
      </c>
      <c r="G150" s="15">
        <f t="shared" si="58"/>
        <v>381.4</v>
      </c>
      <c r="H150" s="15">
        <f t="shared" si="58"/>
        <v>0</v>
      </c>
      <c r="I150" s="15">
        <f t="shared" si="58"/>
        <v>0</v>
      </c>
      <c r="J150" s="67"/>
      <c r="K150" s="36"/>
      <c r="L150" s="44"/>
      <c r="M150" s="44"/>
      <c r="N150" s="44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</row>
    <row r="151" spans="1:227" s="6" customFormat="1" ht="27.75" customHeight="1">
      <c r="A151" s="82"/>
      <c r="B151" s="87"/>
      <c r="C151" s="72" t="s">
        <v>16</v>
      </c>
      <c r="D151" s="15">
        <f t="shared" ref="D151:I151" si="59">SUM(D149:D150)</f>
        <v>17234.5</v>
      </c>
      <c r="E151" s="15">
        <f t="shared" si="59"/>
        <v>0</v>
      </c>
      <c r="F151" s="15">
        <f t="shared" si="59"/>
        <v>16509.8</v>
      </c>
      <c r="G151" s="15">
        <f t="shared" si="59"/>
        <v>381.4</v>
      </c>
      <c r="H151" s="15">
        <f t="shared" si="59"/>
        <v>343.3</v>
      </c>
      <c r="I151" s="15">
        <f t="shared" si="59"/>
        <v>0</v>
      </c>
      <c r="J151" s="67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</row>
    <row r="152" spans="1:227" s="6" customFormat="1" ht="18" customHeight="1">
      <c r="A152" s="77" t="s">
        <v>21</v>
      </c>
      <c r="B152" s="86"/>
      <c r="C152" s="71">
        <v>2024</v>
      </c>
      <c r="D152" s="14">
        <f>SUM(E152:I152)</f>
        <v>4904.1000000000004</v>
      </c>
      <c r="E152" s="14">
        <v>0</v>
      </c>
      <c r="F152" s="14">
        <v>4560.8</v>
      </c>
      <c r="G152" s="14">
        <v>0</v>
      </c>
      <c r="H152" s="14">
        <v>343.3</v>
      </c>
      <c r="I152" s="14">
        <v>0</v>
      </c>
      <c r="J152" s="69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</row>
    <row r="153" spans="1:227" s="6" customFormat="1" ht="18" customHeight="1">
      <c r="A153" s="78"/>
      <c r="B153" s="88"/>
      <c r="C153" s="71">
        <v>2025</v>
      </c>
      <c r="D153" s="14">
        <f t="shared" ref="D153" si="60">SUM(E153:I153)</f>
        <v>5448.4</v>
      </c>
      <c r="E153" s="14">
        <v>0</v>
      </c>
      <c r="F153" s="14">
        <v>5067</v>
      </c>
      <c r="G153" s="14">
        <v>381.4</v>
      </c>
      <c r="H153" s="14">
        <v>0</v>
      </c>
      <c r="I153" s="14">
        <v>0</v>
      </c>
      <c r="J153" s="69"/>
      <c r="K153" s="37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</row>
    <row r="154" spans="1:227" s="6" customFormat="1" ht="18" customHeight="1">
      <c r="A154" s="79"/>
      <c r="B154" s="87"/>
      <c r="C154" s="71" t="s">
        <v>16</v>
      </c>
      <c r="D154" s="14">
        <f t="shared" ref="D154:I154" si="61">SUM(D152:D153)</f>
        <v>10352.5</v>
      </c>
      <c r="E154" s="14">
        <f t="shared" si="61"/>
        <v>0</v>
      </c>
      <c r="F154" s="14">
        <f t="shared" si="61"/>
        <v>9627.7999999999993</v>
      </c>
      <c r="G154" s="14">
        <f t="shared" si="61"/>
        <v>381.4</v>
      </c>
      <c r="H154" s="14">
        <f t="shared" si="61"/>
        <v>343.3</v>
      </c>
      <c r="I154" s="14">
        <f t="shared" si="61"/>
        <v>0</v>
      </c>
      <c r="J154" s="69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</row>
    <row r="155" spans="1:227" s="6" customFormat="1" ht="18" customHeight="1">
      <c r="A155" s="77" t="s">
        <v>27</v>
      </c>
      <c r="B155" s="86"/>
      <c r="C155" s="71">
        <v>2024</v>
      </c>
      <c r="D155" s="14">
        <f>SUM(E155:I155)</f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69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</row>
    <row r="156" spans="1:227" s="6" customFormat="1" ht="18" customHeight="1">
      <c r="A156" s="78"/>
      <c r="B156" s="88"/>
      <c r="C156" s="71">
        <v>2025</v>
      </c>
      <c r="D156" s="14">
        <f>SUM(E156:I156)</f>
        <v>6882</v>
      </c>
      <c r="E156" s="14">
        <v>0</v>
      </c>
      <c r="F156" s="14">
        <f>30670.3-23788.3</f>
        <v>6882</v>
      </c>
      <c r="G156" s="14">
        <f>2308.6-2308.6</f>
        <v>0</v>
      </c>
      <c r="H156" s="14">
        <v>0</v>
      </c>
      <c r="I156" s="14">
        <v>0</v>
      </c>
      <c r="J156" s="69"/>
      <c r="K156" s="37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</row>
    <row r="157" spans="1:227" s="6" customFormat="1" ht="18" customHeight="1">
      <c r="A157" s="79"/>
      <c r="B157" s="87"/>
      <c r="C157" s="71" t="s">
        <v>16</v>
      </c>
      <c r="D157" s="14">
        <f t="shared" ref="D157:I157" si="62">SUM(D155:D156)</f>
        <v>6882</v>
      </c>
      <c r="E157" s="14">
        <f t="shared" si="62"/>
        <v>0</v>
      </c>
      <c r="F157" s="14">
        <f t="shared" si="62"/>
        <v>6882</v>
      </c>
      <c r="G157" s="14">
        <f t="shared" si="62"/>
        <v>0</v>
      </c>
      <c r="H157" s="14">
        <f t="shared" si="62"/>
        <v>0</v>
      </c>
      <c r="I157" s="14">
        <f t="shared" si="62"/>
        <v>0</v>
      </c>
      <c r="J157" s="69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</row>
    <row r="158" spans="1:227" s="6" customFormat="1" ht="22.5" customHeight="1">
      <c r="A158" s="81" t="s">
        <v>28</v>
      </c>
      <c r="B158" s="86"/>
      <c r="C158" s="72">
        <v>2024</v>
      </c>
      <c r="D158" s="15">
        <f t="shared" ref="D158:H159" si="63">D161</f>
        <v>10215</v>
      </c>
      <c r="E158" s="15">
        <f t="shared" si="63"/>
        <v>0</v>
      </c>
      <c r="F158" s="15">
        <f t="shared" si="63"/>
        <v>9500</v>
      </c>
      <c r="G158" s="15">
        <f t="shared" si="63"/>
        <v>0</v>
      </c>
      <c r="H158" s="15">
        <f t="shared" si="63"/>
        <v>715</v>
      </c>
      <c r="I158" s="15">
        <v>0</v>
      </c>
      <c r="J158" s="67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</row>
    <row r="159" spans="1:227" s="54" customFormat="1" ht="22.5" customHeight="1">
      <c r="A159" s="85"/>
      <c r="B159" s="88"/>
      <c r="C159" s="72">
        <v>2026</v>
      </c>
      <c r="D159" s="15">
        <f>SUM(E159:I159)</f>
        <v>122151.1</v>
      </c>
      <c r="E159" s="15">
        <f t="shared" si="63"/>
        <v>0</v>
      </c>
      <c r="F159" s="15">
        <f t="shared" si="63"/>
        <v>30000</v>
      </c>
      <c r="G159" s="15">
        <f t="shared" si="63"/>
        <v>92151.1</v>
      </c>
      <c r="H159" s="15">
        <f t="shared" si="63"/>
        <v>0</v>
      </c>
      <c r="I159" s="15">
        <f>I162</f>
        <v>0</v>
      </c>
      <c r="J159" s="67"/>
      <c r="K159" s="6"/>
      <c r="L159" s="6"/>
      <c r="M159" s="6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  <c r="BX159" s="55"/>
      <c r="BY159" s="55"/>
      <c r="BZ159" s="55"/>
      <c r="CA159" s="55"/>
      <c r="CB159" s="55"/>
      <c r="CC159" s="55"/>
      <c r="CD159" s="55"/>
      <c r="CE159" s="55"/>
      <c r="CF159" s="55"/>
      <c r="CG159" s="55"/>
      <c r="CH159" s="55"/>
      <c r="CI159" s="55"/>
      <c r="CJ159" s="55"/>
      <c r="CK159" s="55"/>
      <c r="CL159" s="55"/>
      <c r="CM159" s="55"/>
      <c r="CN159" s="55"/>
      <c r="CO159" s="55"/>
      <c r="CP159" s="55"/>
      <c r="CQ159" s="55"/>
      <c r="CR159" s="55"/>
      <c r="CS159" s="55"/>
      <c r="CT159" s="55"/>
      <c r="CU159" s="55"/>
      <c r="CV159" s="55"/>
      <c r="CW159" s="55"/>
      <c r="CX159" s="55"/>
      <c r="CY159" s="55"/>
      <c r="CZ159" s="55"/>
      <c r="DA159" s="55"/>
      <c r="DB159" s="55"/>
      <c r="DC159" s="55"/>
      <c r="DD159" s="55"/>
      <c r="DE159" s="55"/>
      <c r="DF159" s="55"/>
      <c r="DG159" s="55"/>
      <c r="DH159" s="55"/>
      <c r="DI159" s="55"/>
      <c r="DJ159" s="55"/>
      <c r="DK159" s="55"/>
      <c r="DL159" s="55"/>
      <c r="DM159" s="55"/>
      <c r="DN159" s="55"/>
      <c r="DO159" s="55"/>
      <c r="DP159" s="55"/>
      <c r="DQ159" s="55"/>
      <c r="DR159" s="55"/>
      <c r="DS159" s="55"/>
      <c r="DT159" s="55"/>
      <c r="DU159" s="55"/>
      <c r="DV159" s="55"/>
      <c r="DW159" s="55"/>
      <c r="DX159" s="55"/>
      <c r="DY159" s="55"/>
      <c r="DZ159" s="55"/>
      <c r="EA159" s="55"/>
      <c r="EB159" s="55"/>
      <c r="EC159" s="55"/>
      <c r="ED159" s="55"/>
      <c r="EE159" s="55"/>
      <c r="EF159" s="55"/>
      <c r="EG159" s="55"/>
      <c r="EH159" s="55"/>
      <c r="EI159" s="55"/>
      <c r="EJ159" s="55"/>
      <c r="EK159" s="55"/>
      <c r="EL159" s="55"/>
      <c r="EM159" s="55"/>
      <c r="EN159" s="55"/>
      <c r="EO159" s="55"/>
      <c r="EP159" s="55"/>
      <c r="EQ159" s="55"/>
      <c r="ER159" s="55"/>
      <c r="ES159" s="55"/>
      <c r="ET159" s="55"/>
      <c r="EU159" s="55"/>
      <c r="EV159" s="55"/>
      <c r="EW159" s="55"/>
      <c r="EX159" s="55"/>
      <c r="EY159" s="55"/>
      <c r="EZ159" s="55"/>
      <c r="FA159" s="55"/>
      <c r="FB159" s="55"/>
      <c r="FC159" s="55"/>
      <c r="FD159" s="55"/>
      <c r="FE159" s="55"/>
      <c r="FF159" s="55"/>
      <c r="FG159" s="55"/>
      <c r="FH159" s="55"/>
      <c r="FI159" s="55"/>
      <c r="FJ159" s="55"/>
      <c r="FK159" s="55"/>
      <c r="FL159" s="55"/>
      <c r="FM159" s="55"/>
      <c r="FN159" s="55"/>
      <c r="FO159" s="55"/>
      <c r="FP159" s="55"/>
      <c r="FQ159" s="55"/>
      <c r="FR159" s="55"/>
      <c r="FS159" s="55"/>
      <c r="FT159" s="55"/>
      <c r="FU159" s="55"/>
      <c r="FV159" s="55"/>
      <c r="FW159" s="55"/>
      <c r="FX159" s="55"/>
      <c r="FY159" s="55"/>
      <c r="FZ159" s="55"/>
      <c r="GA159" s="55"/>
      <c r="GB159" s="55"/>
      <c r="GC159" s="55"/>
      <c r="GD159" s="55"/>
      <c r="GE159" s="55"/>
      <c r="GF159" s="55"/>
      <c r="GG159" s="55"/>
      <c r="GH159" s="55"/>
      <c r="GI159" s="55"/>
      <c r="GJ159" s="55"/>
      <c r="GK159" s="55"/>
      <c r="GL159" s="55"/>
      <c r="GM159" s="55"/>
      <c r="GN159" s="55"/>
      <c r="GO159" s="55"/>
      <c r="GP159" s="55"/>
      <c r="GQ159" s="55"/>
      <c r="GR159" s="55"/>
      <c r="GS159" s="55"/>
      <c r="GT159" s="55"/>
      <c r="GU159" s="55"/>
      <c r="GV159" s="55"/>
      <c r="GW159" s="55"/>
      <c r="GX159" s="55"/>
      <c r="GY159" s="55"/>
      <c r="GZ159" s="55"/>
      <c r="HA159" s="55"/>
      <c r="HB159" s="55"/>
      <c r="HC159" s="55"/>
      <c r="HD159" s="55"/>
      <c r="HE159" s="55"/>
      <c r="HF159" s="55"/>
      <c r="HG159" s="55"/>
      <c r="HH159" s="55"/>
      <c r="HI159" s="55"/>
      <c r="HJ159" s="55"/>
      <c r="HK159" s="55"/>
      <c r="HL159" s="55"/>
      <c r="HM159" s="55"/>
      <c r="HN159" s="55"/>
      <c r="HO159" s="55"/>
      <c r="HP159" s="55"/>
      <c r="HQ159" s="55"/>
      <c r="HR159" s="55"/>
      <c r="HS159" s="55"/>
    </row>
    <row r="160" spans="1:227" s="6" customFormat="1" ht="39" customHeight="1">
      <c r="A160" s="82"/>
      <c r="B160" s="87"/>
      <c r="C160" s="72" t="s">
        <v>16</v>
      </c>
      <c r="D160" s="15">
        <f t="shared" ref="D160:H160" si="64">SUM(D158:D159)</f>
        <v>132366.1</v>
      </c>
      <c r="E160" s="15">
        <f t="shared" si="64"/>
        <v>0</v>
      </c>
      <c r="F160" s="15">
        <f t="shared" si="64"/>
        <v>39500</v>
      </c>
      <c r="G160" s="15">
        <f t="shared" si="64"/>
        <v>92151.1</v>
      </c>
      <c r="H160" s="15">
        <f t="shared" si="64"/>
        <v>715</v>
      </c>
      <c r="I160" s="15">
        <f>SUM(I158:I159)</f>
        <v>0</v>
      </c>
      <c r="J160" s="67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</row>
    <row r="161" spans="1:227" s="6" customFormat="1" ht="22.5" customHeight="1">
      <c r="A161" s="77" t="s">
        <v>25</v>
      </c>
      <c r="B161" s="86"/>
      <c r="C161" s="71">
        <v>2024</v>
      </c>
      <c r="D161" s="14">
        <f>SUM(E161:I161)</f>
        <v>10215</v>
      </c>
      <c r="E161" s="14">
        <v>0</v>
      </c>
      <c r="F161" s="14">
        <v>9500</v>
      </c>
      <c r="G161" s="14">
        <v>0</v>
      </c>
      <c r="H161" s="14">
        <v>715</v>
      </c>
      <c r="I161" s="14">
        <v>0</v>
      </c>
      <c r="J161" s="69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</row>
    <row r="162" spans="1:227" s="6" customFormat="1" ht="22.5" customHeight="1">
      <c r="A162" s="78"/>
      <c r="B162" s="88"/>
      <c r="C162" s="71">
        <v>2026</v>
      </c>
      <c r="D162" s="14">
        <f>SUM(E162:I162)</f>
        <v>122151.1</v>
      </c>
      <c r="E162" s="14">
        <v>0</v>
      </c>
      <c r="F162" s="14">
        <v>30000</v>
      </c>
      <c r="G162" s="14">
        <v>92151.1</v>
      </c>
      <c r="H162" s="14">
        <v>0</v>
      </c>
      <c r="I162" s="14">
        <v>0</v>
      </c>
      <c r="J162" s="69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</row>
    <row r="163" spans="1:227" s="6" customFormat="1" ht="22.5" customHeight="1">
      <c r="A163" s="79"/>
      <c r="B163" s="87"/>
      <c r="C163" s="71" t="s">
        <v>16</v>
      </c>
      <c r="D163" s="14">
        <f t="shared" ref="D163:H163" si="65">SUM(D161:D162)</f>
        <v>132366.1</v>
      </c>
      <c r="E163" s="14">
        <f t="shared" si="65"/>
        <v>0</v>
      </c>
      <c r="F163" s="14">
        <f t="shared" si="65"/>
        <v>39500</v>
      </c>
      <c r="G163" s="14">
        <f t="shared" si="65"/>
        <v>92151.1</v>
      </c>
      <c r="H163" s="14">
        <f t="shared" si="65"/>
        <v>715</v>
      </c>
      <c r="I163" s="14">
        <f>SUM(I161:I162)</f>
        <v>0</v>
      </c>
      <c r="J163" s="69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</row>
    <row r="164" spans="1:227" s="6" customFormat="1" ht="21.75" customHeight="1">
      <c r="A164" s="81" t="s">
        <v>29</v>
      </c>
      <c r="B164" s="86"/>
      <c r="C164" s="72">
        <v>2024</v>
      </c>
      <c r="D164" s="15">
        <f t="shared" ref="D164:I166" si="66">D168</f>
        <v>4875.3</v>
      </c>
      <c r="E164" s="15">
        <f t="shared" si="66"/>
        <v>729.8</v>
      </c>
      <c r="F164" s="15">
        <f t="shared" si="66"/>
        <v>3804.3</v>
      </c>
      <c r="G164" s="15">
        <f t="shared" si="66"/>
        <v>0</v>
      </c>
      <c r="H164" s="15">
        <f t="shared" si="66"/>
        <v>341.2</v>
      </c>
      <c r="I164" s="15">
        <v>0</v>
      </c>
      <c r="J164" s="67"/>
      <c r="L164" s="47"/>
      <c r="M164" s="3"/>
      <c r="N164" s="47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</row>
    <row r="165" spans="1:227" s="6" customFormat="1" ht="16.5" customHeight="1">
      <c r="A165" s="85"/>
      <c r="B165" s="88"/>
      <c r="C165" s="72">
        <v>2025</v>
      </c>
      <c r="D165" s="15">
        <f>D169</f>
        <v>2781.7</v>
      </c>
      <c r="E165" s="15">
        <f t="shared" si="66"/>
        <v>249.5</v>
      </c>
      <c r="F165" s="15">
        <f t="shared" si="66"/>
        <v>1732.8</v>
      </c>
      <c r="G165" s="15">
        <f t="shared" si="66"/>
        <v>0</v>
      </c>
      <c r="H165" s="15">
        <f t="shared" si="66"/>
        <v>799.4</v>
      </c>
      <c r="I165" s="15">
        <f>I169</f>
        <v>0</v>
      </c>
      <c r="J165" s="67"/>
      <c r="K165" s="36"/>
      <c r="L165" s="44"/>
      <c r="M165" s="44"/>
      <c r="N165" s="44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</row>
    <row r="166" spans="1:227" s="6" customFormat="1" ht="20.25" customHeight="1">
      <c r="A166" s="85"/>
      <c r="B166" s="88"/>
      <c r="C166" s="72">
        <v>2026</v>
      </c>
      <c r="D166" s="15">
        <f>D170</f>
        <v>13016.699999999999</v>
      </c>
      <c r="E166" s="15">
        <f t="shared" si="66"/>
        <v>1465.8</v>
      </c>
      <c r="F166" s="15">
        <f t="shared" si="66"/>
        <v>10379.4</v>
      </c>
      <c r="G166" s="15">
        <f t="shared" si="66"/>
        <v>0</v>
      </c>
      <c r="H166" s="15">
        <f t="shared" si="66"/>
        <v>1171.5</v>
      </c>
      <c r="I166" s="15">
        <f t="shared" si="66"/>
        <v>0</v>
      </c>
      <c r="J166" s="67"/>
      <c r="K166" s="3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</row>
    <row r="167" spans="1:227" s="6" customFormat="1" ht="18" customHeight="1">
      <c r="A167" s="82"/>
      <c r="B167" s="87"/>
      <c r="C167" s="72" t="s">
        <v>16</v>
      </c>
      <c r="D167" s="15">
        <f t="shared" ref="D167:I167" si="67">SUM(D164:D166)</f>
        <v>20673.699999999997</v>
      </c>
      <c r="E167" s="15">
        <f t="shared" si="67"/>
        <v>2445.1</v>
      </c>
      <c r="F167" s="15">
        <f t="shared" si="67"/>
        <v>15916.5</v>
      </c>
      <c r="G167" s="15">
        <f t="shared" si="67"/>
        <v>0</v>
      </c>
      <c r="H167" s="15">
        <f t="shared" si="67"/>
        <v>2312.1</v>
      </c>
      <c r="I167" s="15">
        <f t="shared" si="67"/>
        <v>0</v>
      </c>
      <c r="J167" s="67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</row>
    <row r="168" spans="1:227" s="6" customFormat="1" ht="18.75" customHeight="1">
      <c r="A168" s="77" t="s">
        <v>30</v>
      </c>
      <c r="B168" s="86"/>
      <c r="C168" s="71">
        <v>2024</v>
      </c>
      <c r="D168" s="14">
        <f>SUM(E168:I168)</f>
        <v>4875.3</v>
      </c>
      <c r="E168" s="14">
        <v>729.8</v>
      </c>
      <c r="F168" s="14">
        <v>3804.3</v>
      </c>
      <c r="G168" s="14">
        <v>0</v>
      </c>
      <c r="H168" s="14">
        <v>341.2</v>
      </c>
      <c r="I168" s="14">
        <v>0</v>
      </c>
      <c r="J168" s="69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</row>
    <row r="169" spans="1:227" s="6" customFormat="1" ht="19.5" customHeight="1">
      <c r="A169" s="78"/>
      <c r="B169" s="88"/>
      <c r="C169" s="71">
        <v>2025</v>
      </c>
      <c r="D169" s="14">
        <f>SUM(E169:I169)</f>
        <v>2781.7</v>
      </c>
      <c r="E169" s="14">
        <v>249.5</v>
      </c>
      <c r="F169" s="14">
        <v>1732.8</v>
      </c>
      <c r="G169" s="14">
        <v>0</v>
      </c>
      <c r="H169" s="14">
        <v>799.4</v>
      </c>
      <c r="I169" s="14">
        <v>0</v>
      </c>
      <c r="J169" s="69"/>
      <c r="K169" s="37"/>
      <c r="L169" s="44"/>
      <c r="M169" s="44"/>
      <c r="N169" s="44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</row>
    <row r="170" spans="1:227" s="6" customFormat="1" ht="20.25" customHeight="1">
      <c r="A170" s="78"/>
      <c r="B170" s="88"/>
      <c r="C170" s="71">
        <v>2026</v>
      </c>
      <c r="D170" s="14">
        <f>SUM(E170:I170)</f>
        <v>13016.699999999999</v>
      </c>
      <c r="E170" s="14">
        <v>1465.8</v>
      </c>
      <c r="F170" s="14">
        <f>0+10379.4</f>
        <v>10379.4</v>
      </c>
      <c r="G170" s="14">
        <v>0</v>
      </c>
      <c r="H170" s="14">
        <f>881.7+289.8</f>
        <v>1171.5</v>
      </c>
      <c r="I170" s="14">
        <v>0</v>
      </c>
      <c r="J170" s="69"/>
      <c r="K170" s="37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</row>
    <row r="171" spans="1:227" ht="19.5" customHeight="1">
      <c r="A171" s="79"/>
      <c r="B171" s="87"/>
      <c r="C171" s="71" t="s">
        <v>16</v>
      </c>
      <c r="D171" s="14">
        <f t="shared" ref="D171:I171" si="68">SUM(D168:D170)</f>
        <v>20673.699999999997</v>
      </c>
      <c r="E171" s="14">
        <f t="shared" si="68"/>
        <v>2445.1</v>
      </c>
      <c r="F171" s="14">
        <f t="shared" si="68"/>
        <v>15916.5</v>
      </c>
      <c r="G171" s="14">
        <f t="shared" si="68"/>
        <v>0</v>
      </c>
      <c r="H171" s="14">
        <f t="shared" si="68"/>
        <v>2312.1</v>
      </c>
      <c r="I171" s="14">
        <f t="shared" si="68"/>
        <v>0</v>
      </c>
      <c r="J171" s="69"/>
    </row>
    <row r="172" spans="1:227" s="6" customFormat="1" ht="39" customHeight="1">
      <c r="A172" s="81" t="s">
        <v>53</v>
      </c>
      <c r="B172" s="86"/>
      <c r="C172" s="72">
        <v>2024</v>
      </c>
      <c r="D172" s="15">
        <f t="shared" ref="D172:H172" si="69">D174</f>
        <v>33750</v>
      </c>
      <c r="E172" s="15">
        <f t="shared" si="69"/>
        <v>0</v>
      </c>
      <c r="F172" s="15">
        <f t="shared" si="69"/>
        <v>23796.1</v>
      </c>
      <c r="G172" s="15">
        <f t="shared" si="69"/>
        <v>9953.9</v>
      </c>
      <c r="H172" s="15">
        <f t="shared" si="69"/>
        <v>0</v>
      </c>
      <c r="I172" s="15">
        <v>0</v>
      </c>
      <c r="J172" s="67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</row>
    <row r="173" spans="1:227" s="6" customFormat="1" ht="45" customHeight="1">
      <c r="A173" s="82"/>
      <c r="B173" s="87"/>
      <c r="C173" s="72" t="s">
        <v>16</v>
      </c>
      <c r="D173" s="15">
        <f t="shared" ref="D173:I173" si="70">SUM(D172:D172)</f>
        <v>33750</v>
      </c>
      <c r="E173" s="15">
        <f t="shared" si="70"/>
        <v>0</v>
      </c>
      <c r="F173" s="15">
        <f t="shared" si="70"/>
        <v>23796.1</v>
      </c>
      <c r="G173" s="15">
        <f t="shared" si="70"/>
        <v>9953.9</v>
      </c>
      <c r="H173" s="15">
        <f t="shared" si="70"/>
        <v>0</v>
      </c>
      <c r="I173" s="15">
        <f t="shared" si="70"/>
        <v>0</v>
      </c>
      <c r="J173" s="67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</row>
    <row r="174" spans="1:227" s="6" customFormat="1" ht="45.75" customHeight="1">
      <c r="A174" s="77" t="s">
        <v>54</v>
      </c>
      <c r="B174" s="86"/>
      <c r="C174" s="71">
        <v>2024</v>
      </c>
      <c r="D174" s="14">
        <f>SUM(E174:I174)</f>
        <v>33750</v>
      </c>
      <c r="E174" s="14">
        <v>0</v>
      </c>
      <c r="F174" s="14">
        <v>23796.1</v>
      </c>
      <c r="G174" s="14">
        <v>9953.9</v>
      </c>
      <c r="H174" s="14">
        <v>0</v>
      </c>
      <c r="I174" s="14">
        <v>0</v>
      </c>
      <c r="J174" s="69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</row>
    <row r="175" spans="1:227" ht="50.25" customHeight="1">
      <c r="A175" s="79"/>
      <c r="B175" s="87"/>
      <c r="C175" s="71" t="s">
        <v>16</v>
      </c>
      <c r="D175" s="14">
        <f t="shared" ref="D175:I175" si="71">SUM(D174:D174)</f>
        <v>33750</v>
      </c>
      <c r="E175" s="14">
        <f t="shared" si="71"/>
        <v>0</v>
      </c>
      <c r="F175" s="14">
        <f t="shared" si="71"/>
        <v>23796.1</v>
      </c>
      <c r="G175" s="14">
        <f t="shared" si="71"/>
        <v>9953.9</v>
      </c>
      <c r="H175" s="14">
        <f t="shared" si="71"/>
        <v>0</v>
      </c>
      <c r="I175" s="14">
        <f t="shared" si="71"/>
        <v>0</v>
      </c>
      <c r="J175" s="69"/>
    </row>
    <row r="176" spans="1:227">
      <c r="A176" s="24" t="s">
        <v>31</v>
      </c>
      <c r="B176" s="25"/>
      <c r="C176" s="26"/>
      <c r="D176" s="27"/>
      <c r="E176" s="27"/>
      <c r="F176" s="27"/>
      <c r="G176" s="27"/>
      <c r="H176" s="27"/>
      <c r="I176" s="28"/>
      <c r="J176" s="67"/>
    </row>
    <row r="177" spans="1:227">
      <c r="A177" s="84" t="s">
        <v>32</v>
      </c>
      <c r="B177" s="83"/>
      <c r="C177" s="72">
        <v>2022</v>
      </c>
      <c r="D177" s="22">
        <f t="shared" ref="D177:D180" si="72">SUM(E177:I177)</f>
        <v>183148.7</v>
      </c>
      <c r="E177" s="22">
        <f t="shared" ref="E177:I178" si="73">E186+E268+E292+E309+E337+E354+E388+E406</f>
        <v>132.1</v>
      </c>
      <c r="F177" s="22">
        <f t="shared" si="73"/>
        <v>4245.3999999999996</v>
      </c>
      <c r="G177" s="22">
        <f t="shared" si="73"/>
        <v>995.7</v>
      </c>
      <c r="H177" s="22">
        <f t="shared" si="73"/>
        <v>177775.5</v>
      </c>
      <c r="I177" s="22">
        <f t="shared" si="73"/>
        <v>0</v>
      </c>
      <c r="J177" s="67"/>
      <c r="K177" s="33"/>
      <c r="L177" s="33"/>
      <c r="M177" s="33"/>
      <c r="N177" s="3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</row>
    <row r="178" spans="1:227">
      <c r="A178" s="84"/>
      <c r="B178" s="83"/>
      <c r="C178" s="72">
        <v>2023</v>
      </c>
      <c r="D178" s="22">
        <f t="shared" si="72"/>
        <v>191150.8</v>
      </c>
      <c r="E178" s="22">
        <f t="shared" si="73"/>
        <v>204.2</v>
      </c>
      <c r="F178" s="22">
        <f t="shared" si="73"/>
        <v>5375.6</v>
      </c>
      <c r="G178" s="22">
        <f t="shared" si="73"/>
        <v>12769.400000000001</v>
      </c>
      <c r="H178" s="22">
        <f t="shared" si="73"/>
        <v>172801.59999999998</v>
      </c>
      <c r="I178" s="22">
        <f t="shared" si="73"/>
        <v>0</v>
      </c>
      <c r="J178" s="67"/>
      <c r="K178" s="33"/>
      <c r="L178" s="33"/>
      <c r="M178" s="33"/>
      <c r="N178" s="3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</row>
    <row r="179" spans="1:227">
      <c r="A179" s="84"/>
      <c r="B179" s="83"/>
      <c r="C179" s="72">
        <v>2024</v>
      </c>
      <c r="D179" s="22">
        <f t="shared" si="72"/>
        <v>268046.2</v>
      </c>
      <c r="E179" s="22">
        <f>E188+E270+E294+E311+E339+E356+E408</f>
        <v>0</v>
      </c>
      <c r="F179" s="22">
        <f>F188+F270+F294+F311+F339+F356+F408</f>
        <v>3061.2</v>
      </c>
      <c r="G179" s="22">
        <f>G188+G270+G294+G311+G339+G356+G408</f>
        <v>81831.7</v>
      </c>
      <c r="H179" s="22">
        <f>H188+H270+H294+H311+H339+H356+H408</f>
        <v>173153.30000000002</v>
      </c>
      <c r="I179" s="22">
        <f>I188+I270+I294+I311+I339+I356+I408</f>
        <v>10000</v>
      </c>
      <c r="J179" s="67"/>
      <c r="K179" s="33"/>
      <c r="L179" s="47"/>
      <c r="M179" s="3"/>
      <c r="N179" s="47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</row>
    <row r="180" spans="1:227">
      <c r="A180" s="84"/>
      <c r="B180" s="83"/>
      <c r="C180" s="72">
        <v>2025</v>
      </c>
      <c r="D180" s="22">
        <f t="shared" si="72"/>
        <v>269011.5</v>
      </c>
      <c r="E180" s="22">
        <f>E189+E271+E295+E312+E340+E357+E390+E409</f>
        <v>0</v>
      </c>
      <c r="F180" s="22">
        <f>F189+F271+F295+F312+F340+F357+F390+F409</f>
        <v>3024.2</v>
      </c>
      <c r="G180" s="22">
        <f>G189+G271+G295+G312+G340+G357+G390+G409</f>
        <v>82883</v>
      </c>
      <c r="H180" s="22">
        <f>H189+H271+H295+H312+H340+H357+H390+H409</f>
        <v>176104.3</v>
      </c>
      <c r="I180" s="22">
        <f>I189+I271+I295+I312+I340+I357+I390+I409</f>
        <v>7000</v>
      </c>
      <c r="J180" s="67"/>
      <c r="K180" s="36"/>
      <c r="L180" s="49"/>
      <c r="M180" s="49"/>
      <c r="N180" s="49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</row>
    <row r="181" spans="1:227">
      <c r="A181" s="84"/>
      <c r="B181" s="83"/>
      <c r="C181" s="72">
        <v>2026</v>
      </c>
      <c r="D181" s="22">
        <f t="shared" ref="D181:I181" si="74">D190+D272+D296+D313+D341+D358+D410</f>
        <v>277008.11734</v>
      </c>
      <c r="E181" s="22">
        <f t="shared" si="74"/>
        <v>0</v>
      </c>
      <c r="F181" s="22">
        <f t="shared" si="74"/>
        <v>3054.3</v>
      </c>
      <c r="G181" s="22">
        <f t="shared" si="74"/>
        <v>51942.41734</v>
      </c>
      <c r="H181" s="22">
        <f t="shared" si="74"/>
        <v>209011.4</v>
      </c>
      <c r="I181" s="22">
        <f t="shared" si="74"/>
        <v>13000</v>
      </c>
      <c r="J181" s="67"/>
      <c r="K181" s="36"/>
      <c r="L181" s="33"/>
      <c r="M181" s="33"/>
      <c r="N181" s="3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</row>
    <row r="182" spans="1:227">
      <c r="A182" s="84"/>
      <c r="B182" s="83"/>
      <c r="C182" s="72">
        <v>2027</v>
      </c>
      <c r="D182" s="22">
        <f>SUM(E182:I182)</f>
        <v>150816.4</v>
      </c>
      <c r="E182" s="22">
        <f>E191+E273+E297+E359+E411+E423</f>
        <v>0</v>
      </c>
      <c r="F182" s="22">
        <f>F191+F273+F297+F359+F411+F423</f>
        <v>0</v>
      </c>
      <c r="G182" s="22">
        <f>G191+G273+G297+G359+G411+G423</f>
        <v>0</v>
      </c>
      <c r="H182" s="22">
        <f>H191+H273+H297+H359+H411+H423</f>
        <v>150816.4</v>
      </c>
      <c r="I182" s="22">
        <f>I191+I273+I297+I359+I411+I423</f>
        <v>0</v>
      </c>
      <c r="J182" s="67"/>
      <c r="K182" s="36"/>
      <c r="L182" s="33"/>
      <c r="M182" s="33"/>
      <c r="N182" s="3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</row>
    <row r="183" spans="1:227">
      <c r="A183" s="84"/>
      <c r="B183" s="83"/>
      <c r="C183" s="72">
        <v>2028</v>
      </c>
      <c r="D183" s="53">
        <f>SUM(E183:I183)</f>
        <v>159106.6</v>
      </c>
      <c r="E183" s="53">
        <f>E192+E274+E298+E360+E412</f>
        <v>0</v>
      </c>
      <c r="F183" s="53">
        <f>F192+F274+F298+F360+F412</f>
        <v>0</v>
      </c>
      <c r="G183" s="53">
        <f>G192+G274+G298+G360+G412</f>
        <v>0</v>
      </c>
      <c r="H183" s="53">
        <f>H192+H274+H298+H360+H412</f>
        <v>159106.6</v>
      </c>
      <c r="I183" s="53">
        <f>I192+I274+I298+I360+I412</f>
        <v>0</v>
      </c>
      <c r="J183" s="67"/>
      <c r="K183" s="36"/>
      <c r="L183" s="33"/>
      <c r="M183" s="33"/>
      <c r="N183" s="3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</row>
    <row r="184" spans="1:227">
      <c r="A184" s="84"/>
      <c r="B184" s="83"/>
      <c r="C184" s="72" t="s">
        <v>16</v>
      </c>
      <c r="D184" s="22">
        <f t="shared" ref="D184:H184" si="75">SUM(D177:D183)</f>
        <v>1498288.3173400001</v>
      </c>
      <c r="E184" s="22">
        <f t="shared" si="75"/>
        <v>336.29999999999995</v>
      </c>
      <c r="F184" s="22">
        <f t="shared" si="75"/>
        <v>18760.7</v>
      </c>
      <c r="G184" s="22">
        <f t="shared" si="75"/>
        <v>230422.21733999997</v>
      </c>
      <c r="H184" s="22">
        <f t="shared" si="75"/>
        <v>1218769.1000000001</v>
      </c>
      <c r="I184" s="22">
        <f>SUM(I177:I183)</f>
        <v>30000</v>
      </c>
      <c r="J184" s="67"/>
      <c r="K184" s="33"/>
      <c r="L184" s="33"/>
      <c r="M184" s="33"/>
      <c r="N184" s="3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</row>
    <row r="185" spans="1:227">
      <c r="A185" s="73" t="s">
        <v>70</v>
      </c>
      <c r="B185" s="17"/>
      <c r="C185" s="17"/>
      <c r="D185" s="18"/>
      <c r="E185" s="19"/>
      <c r="F185" s="19"/>
      <c r="G185" s="19"/>
      <c r="H185" s="19"/>
      <c r="I185" s="20"/>
      <c r="J185" s="69"/>
    </row>
    <row r="186" spans="1:227">
      <c r="A186" s="84" t="s">
        <v>16</v>
      </c>
      <c r="B186" s="83"/>
      <c r="C186" s="72">
        <v>2022</v>
      </c>
      <c r="D186" s="15">
        <f t="shared" ref="D186:I187" si="76">D194+D202+D210+D218+D222+D230+D239+D242+D245+D248+D251+D257</f>
        <v>116103.9</v>
      </c>
      <c r="E186" s="15">
        <f t="shared" si="76"/>
        <v>0</v>
      </c>
      <c r="F186" s="15">
        <f t="shared" si="76"/>
        <v>3164.1</v>
      </c>
      <c r="G186" s="15">
        <f t="shared" si="76"/>
        <v>0</v>
      </c>
      <c r="H186" s="15">
        <f t="shared" si="76"/>
        <v>112939.79999999999</v>
      </c>
      <c r="I186" s="15">
        <f t="shared" si="76"/>
        <v>0</v>
      </c>
      <c r="J186" s="67"/>
      <c r="K186" s="33"/>
      <c r="L186" s="33"/>
      <c r="M186" s="33"/>
      <c r="N186" s="3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</row>
    <row r="187" spans="1:227">
      <c r="A187" s="84"/>
      <c r="B187" s="83"/>
      <c r="C187" s="72">
        <v>2023</v>
      </c>
      <c r="D187" s="15">
        <f t="shared" si="76"/>
        <v>123934.69999999998</v>
      </c>
      <c r="E187" s="15">
        <f t="shared" si="76"/>
        <v>0</v>
      </c>
      <c r="F187" s="15">
        <f t="shared" si="76"/>
        <v>4101.2</v>
      </c>
      <c r="G187" s="15">
        <f t="shared" si="76"/>
        <v>12140.900000000001</v>
      </c>
      <c r="H187" s="15">
        <f t="shared" si="76"/>
        <v>107692.59999999998</v>
      </c>
      <c r="I187" s="15">
        <f t="shared" si="76"/>
        <v>0</v>
      </c>
      <c r="J187" s="67"/>
      <c r="K187" s="33"/>
      <c r="L187" s="47"/>
      <c r="M187" s="3"/>
      <c r="N187" s="47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</row>
    <row r="188" spans="1:227">
      <c r="A188" s="84"/>
      <c r="B188" s="83"/>
      <c r="C188" s="72">
        <v>2024</v>
      </c>
      <c r="D188" s="15">
        <f t="shared" ref="D188:I188" si="77">D196+D204+D212+D220+D224+D232+D253+D259</f>
        <v>193513.5</v>
      </c>
      <c r="E188" s="15">
        <f t="shared" si="77"/>
        <v>0</v>
      </c>
      <c r="F188" s="15">
        <f t="shared" si="77"/>
        <v>3061.2</v>
      </c>
      <c r="G188" s="15">
        <f t="shared" si="77"/>
        <v>76253.7</v>
      </c>
      <c r="H188" s="15">
        <f t="shared" si="77"/>
        <v>104198.6</v>
      </c>
      <c r="I188" s="15">
        <f t="shared" si="77"/>
        <v>10000</v>
      </c>
      <c r="J188" s="67"/>
      <c r="K188" s="33"/>
      <c r="L188" s="47"/>
      <c r="M188" s="3"/>
      <c r="N188" s="47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</row>
    <row r="189" spans="1:227">
      <c r="A189" s="84"/>
      <c r="B189" s="83"/>
      <c r="C189" s="72">
        <v>2025</v>
      </c>
      <c r="D189" s="15">
        <f t="shared" ref="D189:I189" si="78">D197+D205+D213+D225+D233+D236+D254+D260+D262+D265</f>
        <v>124771.8</v>
      </c>
      <c r="E189" s="15">
        <f t="shared" si="78"/>
        <v>0</v>
      </c>
      <c r="F189" s="15">
        <f t="shared" si="78"/>
        <v>3024.2</v>
      </c>
      <c r="G189" s="15">
        <f t="shared" si="78"/>
        <v>27436.9</v>
      </c>
      <c r="H189" s="15">
        <f t="shared" si="78"/>
        <v>87310.7</v>
      </c>
      <c r="I189" s="15">
        <f t="shared" si="78"/>
        <v>7000</v>
      </c>
      <c r="J189" s="67"/>
      <c r="K189" s="36"/>
      <c r="L189" s="44"/>
      <c r="M189" s="44"/>
      <c r="N189" s="4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</row>
    <row r="190" spans="1:227">
      <c r="A190" s="84"/>
      <c r="B190" s="83"/>
      <c r="C190" s="72">
        <v>2026</v>
      </c>
      <c r="D190" s="15">
        <f t="shared" ref="D190:I190" si="79">D198+D206+D214+D226+D234+D255+D263</f>
        <v>154147.41733999999</v>
      </c>
      <c r="E190" s="15">
        <f t="shared" si="79"/>
        <v>0</v>
      </c>
      <c r="F190" s="15">
        <f t="shared" si="79"/>
        <v>3054.3</v>
      </c>
      <c r="G190" s="15">
        <f t="shared" si="79"/>
        <v>19621.717339999999</v>
      </c>
      <c r="H190" s="15">
        <f t="shared" si="79"/>
        <v>118471.40000000001</v>
      </c>
      <c r="I190" s="15">
        <f t="shared" si="79"/>
        <v>13000</v>
      </c>
      <c r="J190" s="67"/>
      <c r="K190" s="36"/>
      <c r="L190" s="33"/>
      <c r="M190" s="33"/>
      <c r="N190" s="3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</row>
    <row r="191" spans="1:227">
      <c r="A191" s="84"/>
      <c r="B191" s="83"/>
      <c r="C191" s="72">
        <v>2027</v>
      </c>
      <c r="D191" s="15">
        <f t="shared" ref="D191:H192" si="80">D199+D207+D215+D227</f>
        <v>78973.8</v>
      </c>
      <c r="E191" s="15">
        <f t="shared" si="80"/>
        <v>0</v>
      </c>
      <c r="F191" s="15">
        <f t="shared" si="80"/>
        <v>0</v>
      </c>
      <c r="G191" s="15">
        <f t="shared" si="80"/>
        <v>0</v>
      </c>
      <c r="H191" s="15">
        <f t="shared" si="80"/>
        <v>78973.8</v>
      </c>
      <c r="I191" s="15">
        <f>I199+I207+I215+I227</f>
        <v>0</v>
      </c>
      <c r="J191" s="67"/>
      <c r="K191" s="36"/>
      <c r="L191" s="33"/>
      <c r="M191" s="33"/>
      <c r="N191" s="3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</row>
    <row r="192" spans="1:227">
      <c r="A192" s="84"/>
      <c r="B192" s="83"/>
      <c r="C192" s="72">
        <v>2028</v>
      </c>
      <c r="D192" s="15">
        <f t="shared" si="80"/>
        <v>83740</v>
      </c>
      <c r="E192" s="15">
        <f t="shared" si="80"/>
        <v>0</v>
      </c>
      <c r="F192" s="15">
        <f t="shared" si="80"/>
        <v>0</v>
      </c>
      <c r="G192" s="15">
        <f t="shared" si="80"/>
        <v>0</v>
      </c>
      <c r="H192" s="15">
        <f t="shared" si="80"/>
        <v>83740</v>
      </c>
      <c r="I192" s="15">
        <f>I200+I208+I216+I228</f>
        <v>0</v>
      </c>
      <c r="J192" s="67"/>
      <c r="K192" s="36"/>
      <c r="L192" s="33"/>
      <c r="M192" s="33"/>
      <c r="N192" s="3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</row>
    <row r="193" spans="1:227">
      <c r="A193" s="84"/>
      <c r="B193" s="83"/>
      <c r="C193" s="72" t="s">
        <v>16</v>
      </c>
      <c r="D193" s="15">
        <f t="shared" ref="D193:H193" si="81">SUM(D186:D192)</f>
        <v>875185.11734000011</v>
      </c>
      <c r="E193" s="15">
        <f t="shared" si="81"/>
        <v>0</v>
      </c>
      <c r="F193" s="15">
        <f t="shared" si="81"/>
        <v>16405</v>
      </c>
      <c r="G193" s="15">
        <f t="shared" si="81"/>
        <v>135453.21734</v>
      </c>
      <c r="H193" s="15">
        <f t="shared" si="81"/>
        <v>693326.9</v>
      </c>
      <c r="I193" s="15">
        <f>SUM(I186:I192)</f>
        <v>30000</v>
      </c>
      <c r="J193" s="67"/>
      <c r="K193" s="33"/>
      <c r="L193" s="33"/>
      <c r="M193" s="33"/>
      <c r="N193" s="3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</row>
    <row r="194" spans="1:227">
      <c r="A194" s="103" t="s">
        <v>33</v>
      </c>
      <c r="B194" s="80"/>
      <c r="C194" s="71">
        <v>2022</v>
      </c>
      <c r="D194" s="14">
        <f t="shared" ref="D194:D199" si="82">SUM(E194:I194)</f>
        <v>49765.7</v>
      </c>
      <c r="E194" s="14">
        <v>0</v>
      </c>
      <c r="F194" s="14">
        <v>0</v>
      </c>
      <c r="G194" s="14">
        <v>0</v>
      </c>
      <c r="H194" s="14">
        <v>49765.7</v>
      </c>
      <c r="I194" s="14">
        <v>0</v>
      </c>
      <c r="J194" s="69"/>
    </row>
    <row r="195" spans="1:227" s="6" customFormat="1">
      <c r="A195" s="103"/>
      <c r="B195" s="80"/>
      <c r="C195" s="71">
        <v>2023</v>
      </c>
      <c r="D195" s="14">
        <f t="shared" si="82"/>
        <v>42525.2</v>
      </c>
      <c r="E195" s="14">
        <v>0</v>
      </c>
      <c r="F195" s="14">
        <v>0</v>
      </c>
      <c r="G195" s="14">
        <v>0</v>
      </c>
      <c r="H195" s="14">
        <v>42525.2</v>
      </c>
      <c r="I195" s="14">
        <v>0</v>
      </c>
      <c r="J195" s="69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</row>
    <row r="196" spans="1:227" s="6" customFormat="1">
      <c r="A196" s="103"/>
      <c r="B196" s="80"/>
      <c r="C196" s="71">
        <v>2024</v>
      </c>
      <c r="D196" s="14">
        <f t="shared" si="82"/>
        <v>30396.2</v>
      </c>
      <c r="E196" s="14">
        <v>0</v>
      </c>
      <c r="F196" s="14">
        <v>0</v>
      </c>
      <c r="G196" s="14">
        <v>0</v>
      </c>
      <c r="H196" s="14">
        <v>30396.2</v>
      </c>
      <c r="I196" s="14">
        <v>0</v>
      </c>
      <c r="J196" s="69"/>
      <c r="K196" s="41"/>
      <c r="L196" s="4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</row>
    <row r="197" spans="1:227" s="6" customFormat="1">
      <c r="A197" s="103"/>
      <c r="B197" s="80"/>
      <c r="C197" s="71">
        <v>2025</v>
      </c>
      <c r="D197" s="14">
        <f t="shared" si="82"/>
        <v>58124.800000000003</v>
      </c>
      <c r="E197" s="14">
        <v>0</v>
      </c>
      <c r="F197" s="14">
        <v>0</v>
      </c>
      <c r="G197" s="14">
        <v>0</v>
      </c>
      <c r="H197" s="14">
        <f>29916.9+23910-2670.5-0.1-162+130.5</f>
        <v>51124.800000000003</v>
      </c>
      <c r="I197" s="14">
        <v>7000</v>
      </c>
      <c r="J197" s="69"/>
      <c r="K197" s="40"/>
      <c r="L197" s="37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</row>
    <row r="198" spans="1:227" s="6" customFormat="1">
      <c r="A198" s="103"/>
      <c r="B198" s="80"/>
      <c r="C198" s="71">
        <v>2026</v>
      </c>
      <c r="D198" s="14">
        <f t="shared" si="82"/>
        <v>92930.5</v>
      </c>
      <c r="E198" s="14">
        <v>0</v>
      </c>
      <c r="F198" s="14">
        <v>0</v>
      </c>
      <c r="G198" s="14">
        <v>0</v>
      </c>
      <c r="H198" s="14">
        <f>66898.3+12757.3-2000+2456-171.3-9.8</f>
        <v>79930.5</v>
      </c>
      <c r="I198" s="14">
        <f>0+6000+7000</f>
        <v>13000</v>
      </c>
      <c r="J198" s="59"/>
      <c r="K198" s="59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</row>
    <row r="199" spans="1:227" s="6" customFormat="1">
      <c r="A199" s="103"/>
      <c r="B199" s="80"/>
      <c r="C199" s="71">
        <v>2027</v>
      </c>
      <c r="D199" s="14">
        <f t="shared" si="82"/>
        <v>44708</v>
      </c>
      <c r="E199" s="14">
        <v>0</v>
      </c>
      <c r="F199" s="14">
        <v>0</v>
      </c>
      <c r="G199" s="14">
        <v>0</v>
      </c>
      <c r="H199" s="14">
        <f>49474.2-4766.2</f>
        <v>44708</v>
      </c>
      <c r="I199" s="14">
        <v>0</v>
      </c>
      <c r="J199" s="69"/>
      <c r="K199" s="37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</row>
    <row r="200" spans="1:227" s="6" customFormat="1">
      <c r="A200" s="103"/>
      <c r="B200" s="80"/>
      <c r="C200" s="71">
        <v>2028</v>
      </c>
      <c r="D200" s="14">
        <f>SUM(E200:I200)</f>
        <v>49474.2</v>
      </c>
      <c r="E200" s="14">
        <v>0</v>
      </c>
      <c r="F200" s="14">
        <v>0</v>
      </c>
      <c r="G200" s="14">
        <v>0</v>
      </c>
      <c r="H200" s="14">
        <v>49474.2</v>
      </c>
      <c r="I200" s="14">
        <v>0</v>
      </c>
      <c r="J200" s="69"/>
      <c r="K200" s="37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</row>
    <row r="201" spans="1:227" s="6" customFormat="1">
      <c r="A201" s="103"/>
      <c r="B201" s="80"/>
      <c r="C201" s="71" t="s">
        <v>16</v>
      </c>
      <c r="D201" s="14">
        <f>SUM(D194:D200)</f>
        <v>367924.60000000003</v>
      </c>
      <c r="E201" s="14">
        <f t="shared" ref="E201:H201" si="83">SUM(E194:E200)</f>
        <v>0</v>
      </c>
      <c r="F201" s="14">
        <f t="shared" si="83"/>
        <v>0</v>
      </c>
      <c r="G201" s="14">
        <f t="shared" si="83"/>
        <v>0</v>
      </c>
      <c r="H201" s="14">
        <f t="shared" si="83"/>
        <v>347924.60000000003</v>
      </c>
      <c r="I201" s="14">
        <f>SUM(I194:I200)</f>
        <v>20000</v>
      </c>
      <c r="J201" s="69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</row>
    <row r="202" spans="1:227" s="6" customFormat="1">
      <c r="A202" s="77" t="s">
        <v>34</v>
      </c>
      <c r="B202" s="80"/>
      <c r="C202" s="71">
        <v>2022</v>
      </c>
      <c r="D202" s="14">
        <f t="shared" ref="D202:D207" si="84">SUM(E202:I202)</f>
        <v>9189</v>
      </c>
      <c r="E202" s="14">
        <v>0</v>
      </c>
      <c r="F202" s="14">
        <v>0</v>
      </c>
      <c r="G202" s="14">
        <v>0</v>
      </c>
      <c r="H202" s="14">
        <v>9189</v>
      </c>
      <c r="I202" s="14">
        <v>0</v>
      </c>
      <c r="J202" s="69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</row>
    <row r="203" spans="1:227" s="6" customFormat="1">
      <c r="A203" s="78"/>
      <c r="B203" s="80"/>
      <c r="C203" s="71">
        <v>2023</v>
      </c>
      <c r="D203" s="14">
        <f t="shared" si="84"/>
        <v>9773.1</v>
      </c>
      <c r="E203" s="14">
        <v>0</v>
      </c>
      <c r="F203" s="14">
        <v>0</v>
      </c>
      <c r="G203" s="14">
        <v>0</v>
      </c>
      <c r="H203" s="14">
        <v>9773.1</v>
      </c>
      <c r="I203" s="14">
        <v>0</v>
      </c>
      <c r="J203" s="69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</row>
    <row r="204" spans="1:227" s="6" customFormat="1">
      <c r="A204" s="78"/>
      <c r="B204" s="80"/>
      <c r="C204" s="71">
        <v>2024</v>
      </c>
      <c r="D204" s="14">
        <f t="shared" si="84"/>
        <v>8391.7999999999993</v>
      </c>
      <c r="E204" s="14">
        <v>0</v>
      </c>
      <c r="F204" s="14">
        <v>0</v>
      </c>
      <c r="G204" s="14">
        <v>0</v>
      </c>
      <c r="H204" s="14">
        <v>8391.7999999999993</v>
      </c>
      <c r="I204" s="14">
        <v>0</v>
      </c>
      <c r="J204" s="69"/>
      <c r="K204" s="29"/>
      <c r="L204" s="4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</row>
    <row r="205" spans="1:227" s="6" customFormat="1">
      <c r="A205" s="78"/>
      <c r="B205" s="80"/>
      <c r="C205" s="71">
        <v>2025</v>
      </c>
      <c r="D205" s="14">
        <f t="shared" si="84"/>
        <v>9728.2999999999993</v>
      </c>
      <c r="E205" s="14">
        <v>0</v>
      </c>
      <c r="F205" s="14">
        <v>0</v>
      </c>
      <c r="G205" s="14">
        <v>0</v>
      </c>
      <c r="H205" s="14">
        <f>9575.3+153</f>
        <v>9728.2999999999993</v>
      </c>
      <c r="I205" s="14">
        <v>0</v>
      </c>
      <c r="J205" s="69"/>
      <c r="K205" s="37"/>
      <c r="L205" s="37"/>
      <c r="N205" s="29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</row>
    <row r="206" spans="1:227" s="6" customFormat="1">
      <c r="A206" s="78"/>
      <c r="B206" s="80"/>
      <c r="C206" s="71">
        <v>2026</v>
      </c>
      <c r="D206" s="14">
        <f t="shared" si="84"/>
        <v>11792.199999999999</v>
      </c>
      <c r="E206" s="14">
        <v>0</v>
      </c>
      <c r="F206" s="14">
        <v>0</v>
      </c>
      <c r="G206" s="14">
        <v>0</v>
      </c>
      <c r="H206" s="14">
        <f>9571.8+2220.4</f>
        <v>11792.199999999999</v>
      </c>
      <c r="I206" s="14">
        <v>0</v>
      </c>
      <c r="J206" s="69"/>
      <c r="K206" s="37"/>
      <c r="N206" s="29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</row>
    <row r="207" spans="1:227" s="6" customFormat="1">
      <c r="A207" s="78"/>
      <c r="B207" s="80"/>
      <c r="C207" s="71">
        <v>2027</v>
      </c>
      <c r="D207" s="14">
        <f t="shared" si="84"/>
        <v>9571.7999999999993</v>
      </c>
      <c r="E207" s="14">
        <v>0</v>
      </c>
      <c r="F207" s="14">
        <v>0</v>
      </c>
      <c r="G207" s="14">
        <v>0</v>
      </c>
      <c r="H207" s="14">
        <v>9571.7999999999993</v>
      </c>
      <c r="I207" s="14">
        <v>0</v>
      </c>
      <c r="J207" s="69"/>
      <c r="K207" s="37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</row>
    <row r="208" spans="1:227" s="6" customFormat="1">
      <c r="A208" s="78"/>
      <c r="B208" s="80"/>
      <c r="C208" s="71">
        <v>2028</v>
      </c>
      <c r="D208" s="14">
        <f>SUM(E208:I208)</f>
        <v>9571.7999999999993</v>
      </c>
      <c r="E208" s="14">
        <v>0</v>
      </c>
      <c r="F208" s="14">
        <v>0</v>
      </c>
      <c r="G208" s="14">
        <v>0</v>
      </c>
      <c r="H208" s="14">
        <v>9571.7999999999993</v>
      </c>
      <c r="I208" s="14">
        <v>0</v>
      </c>
      <c r="J208" s="69"/>
      <c r="K208" s="37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</row>
    <row r="209" spans="1:227" s="6" customFormat="1">
      <c r="A209" s="79"/>
      <c r="B209" s="80"/>
      <c r="C209" s="71" t="s">
        <v>16</v>
      </c>
      <c r="D209" s="14">
        <f>SUM(D202:D208)</f>
        <v>68018</v>
      </c>
      <c r="E209" s="14">
        <f t="shared" ref="E209:H209" si="85">SUM(E202:E208)</f>
        <v>0</v>
      </c>
      <c r="F209" s="14">
        <f t="shared" si="85"/>
        <v>0</v>
      </c>
      <c r="G209" s="14">
        <f t="shared" si="85"/>
        <v>0</v>
      </c>
      <c r="H209" s="14">
        <f t="shared" si="85"/>
        <v>68018</v>
      </c>
      <c r="I209" s="14">
        <f>SUM(I202:I208)</f>
        <v>0</v>
      </c>
      <c r="J209" s="69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</row>
    <row r="210" spans="1:227" s="6" customFormat="1">
      <c r="A210" s="77" t="s">
        <v>35</v>
      </c>
      <c r="B210" s="80"/>
      <c r="C210" s="71">
        <v>2022</v>
      </c>
      <c r="D210" s="21">
        <f t="shared" ref="D210:D215" si="86">SUM(E210:I210)</f>
        <v>16065.4</v>
      </c>
      <c r="E210" s="14">
        <v>0</v>
      </c>
      <c r="F210" s="14">
        <v>0</v>
      </c>
      <c r="G210" s="14">
        <v>0</v>
      </c>
      <c r="H210" s="14">
        <v>16065.4</v>
      </c>
      <c r="I210" s="14">
        <v>0</v>
      </c>
      <c r="J210" s="69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</row>
    <row r="211" spans="1:227" s="6" customFormat="1">
      <c r="A211" s="78"/>
      <c r="B211" s="80"/>
      <c r="C211" s="71">
        <v>2023</v>
      </c>
      <c r="D211" s="21">
        <f t="shared" si="86"/>
        <v>23656.2</v>
      </c>
      <c r="E211" s="14">
        <v>0</v>
      </c>
      <c r="F211" s="14">
        <v>0</v>
      </c>
      <c r="G211" s="14">
        <v>0</v>
      </c>
      <c r="H211" s="14">
        <v>23656.2</v>
      </c>
      <c r="I211" s="14">
        <v>0</v>
      </c>
      <c r="J211" s="69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</row>
    <row r="212" spans="1:227" s="6" customFormat="1">
      <c r="A212" s="78"/>
      <c r="B212" s="80"/>
      <c r="C212" s="71">
        <v>2024</v>
      </c>
      <c r="D212" s="21">
        <f t="shared" si="86"/>
        <v>18248.3</v>
      </c>
      <c r="E212" s="14">
        <v>0</v>
      </c>
      <c r="F212" s="14">
        <v>0</v>
      </c>
      <c r="G212" s="14">
        <v>0</v>
      </c>
      <c r="H212" s="14">
        <v>18248.3</v>
      </c>
      <c r="I212" s="14">
        <v>0</v>
      </c>
      <c r="J212" s="69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</row>
    <row r="213" spans="1:227" s="6" customFormat="1">
      <c r="A213" s="78"/>
      <c r="B213" s="80"/>
      <c r="C213" s="71">
        <v>2025</v>
      </c>
      <c r="D213" s="21">
        <f t="shared" si="86"/>
        <v>20665</v>
      </c>
      <c r="E213" s="14">
        <v>0</v>
      </c>
      <c r="F213" s="14">
        <v>0</v>
      </c>
      <c r="G213" s="14">
        <v>0</v>
      </c>
      <c r="H213" s="14">
        <f>19065+1600</f>
        <v>20665</v>
      </c>
      <c r="I213" s="14">
        <v>0</v>
      </c>
      <c r="J213" s="69"/>
      <c r="K213" s="37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</row>
    <row r="214" spans="1:227" s="6" customFormat="1">
      <c r="A214" s="78"/>
      <c r="B214" s="80"/>
      <c r="C214" s="71">
        <v>2026</v>
      </c>
      <c r="D214" s="21">
        <f t="shared" si="86"/>
        <v>20340.3</v>
      </c>
      <c r="E214" s="14">
        <v>0</v>
      </c>
      <c r="F214" s="14">
        <v>0</v>
      </c>
      <c r="G214" s="14">
        <v>0</v>
      </c>
      <c r="H214" s="14">
        <f>20294+3.8+42.5</f>
        <v>20340.3</v>
      </c>
      <c r="I214" s="14">
        <v>0</v>
      </c>
      <c r="J214" s="69"/>
      <c r="K214" s="37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</row>
    <row r="215" spans="1:227" s="6" customFormat="1">
      <c r="A215" s="78"/>
      <c r="B215" s="80"/>
      <c r="C215" s="71">
        <v>2027</v>
      </c>
      <c r="D215" s="21">
        <f t="shared" si="86"/>
        <v>20294</v>
      </c>
      <c r="E215" s="14">
        <v>0</v>
      </c>
      <c r="F215" s="14">
        <v>0</v>
      </c>
      <c r="G215" s="14">
        <v>0</v>
      </c>
      <c r="H215" s="14">
        <v>20294</v>
      </c>
      <c r="I215" s="14">
        <v>0</v>
      </c>
      <c r="J215" s="69"/>
      <c r="K215" s="37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</row>
    <row r="216" spans="1:227" s="6" customFormat="1">
      <c r="A216" s="78"/>
      <c r="B216" s="80"/>
      <c r="C216" s="71">
        <v>2028</v>
      </c>
      <c r="D216" s="14">
        <f>SUM(E216:I216)</f>
        <v>20294</v>
      </c>
      <c r="E216" s="14">
        <v>0</v>
      </c>
      <c r="F216" s="14">
        <v>0</v>
      </c>
      <c r="G216" s="14">
        <v>0</v>
      </c>
      <c r="H216" s="14">
        <v>20294</v>
      </c>
      <c r="I216" s="14">
        <v>0</v>
      </c>
      <c r="J216" s="69"/>
      <c r="K216" s="37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</row>
    <row r="217" spans="1:227" s="6" customFormat="1">
      <c r="A217" s="79"/>
      <c r="B217" s="80"/>
      <c r="C217" s="71" t="s">
        <v>16</v>
      </c>
      <c r="D217" s="21">
        <f>SUM(D210:D216)</f>
        <v>139563.20000000001</v>
      </c>
      <c r="E217" s="21">
        <f t="shared" ref="E217:H217" si="87">SUM(E210:E216)</f>
        <v>0</v>
      </c>
      <c r="F217" s="21">
        <f t="shared" si="87"/>
        <v>0</v>
      </c>
      <c r="G217" s="21">
        <f t="shared" si="87"/>
        <v>0</v>
      </c>
      <c r="H217" s="21">
        <f t="shared" si="87"/>
        <v>139563.20000000001</v>
      </c>
      <c r="I217" s="21">
        <f>SUM(I210:I216)</f>
        <v>0</v>
      </c>
      <c r="J217" s="69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</row>
    <row r="218" spans="1:227" s="6" customFormat="1" ht="18.75" customHeight="1">
      <c r="A218" s="77" t="s">
        <v>36</v>
      </c>
      <c r="B218" s="80"/>
      <c r="C218" s="71">
        <v>2022</v>
      </c>
      <c r="D218" s="14">
        <f t="shared" ref="D218:D220" si="88">SUM(E218:I218)</f>
        <v>17098.7</v>
      </c>
      <c r="E218" s="14">
        <v>0</v>
      </c>
      <c r="F218" s="14">
        <v>0</v>
      </c>
      <c r="G218" s="14">
        <v>0</v>
      </c>
      <c r="H218" s="14">
        <v>17098.7</v>
      </c>
      <c r="I218" s="14">
        <v>0</v>
      </c>
      <c r="J218" s="69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</row>
    <row r="219" spans="1:227" s="6" customFormat="1">
      <c r="A219" s="78"/>
      <c r="B219" s="80"/>
      <c r="C219" s="71">
        <v>2023</v>
      </c>
      <c r="D219" s="14">
        <f t="shared" si="88"/>
        <v>5196.8999999999996</v>
      </c>
      <c r="E219" s="14">
        <v>0</v>
      </c>
      <c r="F219" s="14">
        <v>0</v>
      </c>
      <c r="G219" s="14">
        <v>0</v>
      </c>
      <c r="H219" s="14">
        <v>5196.8999999999996</v>
      </c>
      <c r="I219" s="14">
        <v>0</v>
      </c>
      <c r="J219" s="69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</row>
    <row r="220" spans="1:227">
      <c r="A220" s="78"/>
      <c r="B220" s="80"/>
      <c r="C220" s="71">
        <v>2024</v>
      </c>
      <c r="D220" s="14">
        <f t="shared" si="88"/>
        <v>49770.400000000001</v>
      </c>
      <c r="E220" s="14">
        <v>0</v>
      </c>
      <c r="F220" s="14">
        <v>0</v>
      </c>
      <c r="G220" s="14">
        <v>0</v>
      </c>
      <c r="H220" s="14">
        <v>39770.400000000001</v>
      </c>
      <c r="I220" s="14">
        <v>10000</v>
      </c>
      <c r="J220" s="69"/>
    </row>
    <row r="221" spans="1:227">
      <c r="A221" s="79"/>
      <c r="B221" s="80"/>
      <c r="C221" s="71" t="s">
        <v>16</v>
      </c>
      <c r="D221" s="14">
        <f t="shared" ref="D221:I221" si="89">SUM(D218:D220)</f>
        <v>72066</v>
      </c>
      <c r="E221" s="14">
        <f t="shared" si="89"/>
        <v>0</v>
      </c>
      <c r="F221" s="14">
        <f t="shared" si="89"/>
        <v>0</v>
      </c>
      <c r="G221" s="14">
        <f t="shared" si="89"/>
        <v>0</v>
      </c>
      <c r="H221" s="14">
        <f t="shared" si="89"/>
        <v>62066</v>
      </c>
      <c r="I221" s="14">
        <f t="shared" si="89"/>
        <v>10000</v>
      </c>
      <c r="J221" s="69"/>
    </row>
    <row r="222" spans="1:227">
      <c r="A222" s="77" t="s">
        <v>37</v>
      </c>
      <c r="B222" s="80"/>
      <c r="C222" s="71">
        <v>2022</v>
      </c>
      <c r="D222" s="14">
        <f t="shared" ref="D222:D228" si="90">SUM(E222:I222)</f>
        <v>20168.8</v>
      </c>
      <c r="E222" s="14">
        <v>0</v>
      </c>
      <c r="F222" s="14">
        <v>0</v>
      </c>
      <c r="G222" s="14">
        <v>0</v>
      </c>
      <c r="H222" s="14">
        <v>20168.8</v>
      </c>
      <c r="I222" s="14">
        <v>0</v>
      </c>
      <c r="J222" s="69"/>
    </row>
    <row r="223" spans="1:227">
      <c r="A223" s="78"/>
      <c r="B223" s="80"/>
      <c r="C223" s="71">
        <v>2023</v>
      </c>
      <c r="D223" s="14">
        <f t="shared" si="90"/>
        <v>21829.200000000001</v>
      </c>
      <c r="E223" s="14">
        <v>0</v>
      </c>
      <c r="F223" s="14">
        <v>0</v>
      </c>
      <c r="G223" s="14">
        <v>0</v>
      </c>
      <c r="H223" s="14">
        <v>21829.200000000001</v>
      </c>
      <c r="I223" s="14">
        <v>0</v>
      </c>
      <c r="J223" s="69"/>
    </row>
    <row r="224" spans="1:227">
      <c r="A224" s="78"/>
      <c r="B224" s="80"/>
      <c r="C224" s="71">
        <v>2024</v>
      </c>
      <c r="D224" s="14">
        <f t="shared" si="90"/>
        <v>1303.7</v>
      </c>
      <c r="E224" s="14">
        <v>0</v>
      </c>
      <c r="F224" s="14">
        <v>0</v>
      </c>
      <c r="G224" s="14">
        <v>0</v>
      </c>
      <c r="H224" s="14">
        <v>1303.7</v>
      </c>
      <c r="I224" s="14">
        <v>0</v>
      </c>
      <c r="J224" s="69"/>
    </row>
    <row r="225" spans="1:227">
      <c r="A225" s="78"/>
      <c r="B225" s="80"/>
      <c r="C225" s="71">
        <v>2025</v>
      </c>
      <c r="D225" s="14">
        <f t="shared" si="90"/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69"/>
      <c r="K225" s="37"/>
    </row>
    <row r="226" spans="1:227">
      <c r="A226" s="78"/>
      <c r="B226" s="80"/>
      <c r="C226" s="71">
        <v>2026</v>
      </c>
      <c r="D226" s="14">
        <f t="shared" si="90"/>
        <v>4400</v>
      </c>
      <c r="E226" s="14">
        <v>0</v>
      </c>
      <c r="F226" s="14">
        <v>0</v>
      </c>
      <c r="G226" s="14">
        <v>0</v>
      </c>
      <c r="H226" s="14">
        <f>4400-4400+4400</f>
        <v>4400</v>
      </c>
      <c r="I226" s="14">
        <v>0</v>
      </c>
      <c r="J226" s="59"/>
      <c r="K226" s="37"/>
    </row>
    <row r="227" spans="1:227">
      <c r="A227" s="78"/>
      <c r="B227" s="80"/>
      <c r="C227" s="71">
        <v>2027</v>
      </c>
      <c r="D227" s="14">
        <f t="shared" si="90"/>
        <v>4400</v>
      </c>
      <c r="E227" s="14">
        <v>0</v>
      </c>
      <c r="F227" s="14">
        <v>0</v>
      </c>
      <c r="G227" s="14">
        <v>0</v>
      </c>
      <c r="H227" s="14">
        <v>4400</v>
      </c>
      <c r="I227" s="14">
        <v>0</v>
      </c>
      <c r="J227" s="69"/>
      <c r="K227" s="37"/>
    </row>
    <row r="228" spans="1:227">
      <c r="A228" s="78"/>
      <c r="B228" s="80"/>
      <c r="C228" s="71">
        <v>2028</v>
      </c>
      <c r="D228" s="14">
        <f t="shared" si="90"/>
        <v>4400</v>
      </c>
      <c r="E228" s="14">
        <v>0</v>
      </c>
      <c r="F228" s="14">
        <v>0</v>
      </c>
      <c r="G228" s="14">
        <v>0</v>
      </c>
      <c r="H228" s="14">
        <v>4400</v>
      </c>
      <c r="I228" s="14">
        <v>0</v>
      </c>
      <c r="J228" s="69"/>
      <c r="K228" s="37"/>
    </row>
    <row r="229" spans="1:227">
      <c r="A229" s="79"/>
      <c r="B229" s="80"/>
      <c r="C229" s="71" t="s">
        <v>16</v>
      </c>
      <c r="D229" s="14">
        <f>SUM(D222:D228)</f>
        <v>56501.7</v>
      </c>
      <c r="E229" s="14">
        <f t="shared" ref="E229:H229" si="91">SUM(E222:E228)</f>
        <v>0</v>
      </c>
      <c r="F229" s="14">
        <f t="shared" si="91"/>
        <v>0</v>
      </c>
      <c r="G229" s="14">
        <f t="shared" si="91"/>
        <v>0</v>
      </c>
      <c r="H229" s="14">
        <f t="shared" si="91"/>
        <v>56501.7</v>
      </c>
      <c r="I229" s="14">
        <f>SUM(I222:I228)</f>
        <v>0</v>
      </c>
      <c r="J229" s="69"/>
    </row>
    <row r="230" spans="1:227" ht="39.950000000000003" customHeight="1">
      <c r="A230" s="89" t="s">
        <v>81</v>
      </c>
      <c r="B230" s="80"/>
      <c r="C230" s="71">
        <v>2022</v>
      </c>
      <c r="D230" s="14">
        <f t="shared" ref="D230:D232" si="92">SUM(E230:I230)</f>
        <v>3816.3</v>
      </c>
      <c r="E230" s="14">
        <v>0</v>
      </c>
      <c r="F230" s="14">
        <v>3164.1</v>
      </c>
      <c r="G230" s="14">
        <v>0</v>
      </c>
      <c r="H230" s="14">
        <v>652.20000000000005</v>
      </c>
      <c r="I230" s="14">
        <v>0</v>
      </c>
      <c r="J230" s="69"/>
      <c r="K230" s="34"/>
      <c r="L230" s="34"/>
      <c r="M230" s="34"/>
      <c r="N230" s="34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</row>
    <row r="231" spans="1:227" ht="39.950000000000003" customHeight="1">
      <c r="A231" s="102"/>
      <c r="B231" s="80"/>
      <c r="C231" s="71">
        <v>2023</v>
      </c>
      <c r="D231" s="14">
        <f t="shared" si="92"/>
        <v>3803.3999999999996</v>
      </c>
      <c r="E231" s="14">
        <v>0</v>
      </c>
      <c r="F231" s="14">
        <v>3151.2</v>
      </c>
      <c r="G231" s="14">
        <v>0</v>
      </c>
      <c r="H231" s="14">
        <v>652.20000000000005</v>
      </c>
      <c r="I231" s="14">
        <v>0</v>
      </c>
      <c r="J231" s="69"/>
      <c r="K231" s="34"/>
      <c r="L231" s="34"/>
      <c r="M231" s="34"/>
      <c r="N231" s="34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  <c r="HE231" s="13"/>
      <c r="HF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</row>
    <row r="232" spans="1:227" ht="39.950000000000003" customHeight="1">
      <c r="A232" s="102"/>
      <c r="B232" s="80"/>
      <c r="C232" s="71">
        <v>2024</v>
      </c>
      <c r="D232" s="14">
        <f t="shared" si="92"/>
        <v>3291.6</v>
      </c>
      <c r="E232" s="14">
        <v>0</v>
      </c>
      <c r="F232" s="14">
        <v>3061.2</v>
      </c>
      <c r="G232" s="14">
        <v>0</v>
      </c>
      <c r="H232" s="14">
        <v>230.4</v>
      </c>
      <c r="I232" s="14">
        <v>0</v>
      </c>
      <c r="J232" s="69"/>
      <c r="K232" s="34"/>
      <c r="L232" s="34"/>
      <c r="M232" s="34"/>
      <c r="N232" s="34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  <c r="HE232" s="13"/>
      <c r="HF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</row>
    <row r="233" spans="1:227" ht="39.950000000000003" customHeight="1">
      <c r="A233" s="102"/>
      <c r="B233" s="80"/>
      <c r="C233" s="71">
        <v>2025</v>
      </c>
      <c r="D233" s="14">
        <f>SUM(E233:I233)</f>
        <v>3251.7999999999997</v>
      </c>
      <c r="E233" s="14">
        <v>0</v>
      </c>
      <c r="F233" s="14">
        <v>3024.2</v>
      </c>
      <c r="G233" s="14">
        <v>227.6</v>
      </c>
      <c r="H233" s="14">
        <v>0</v>
      </c>
      <c r="I233" s="14">
        <v>0</v>
      </c>
      <c r="J233" s="69"/>
      <c r="K233" s="37"/>
      <c r="L233" s="34"/>
      <c r="M233" s="34"/>
      <c r="N233" s="34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  <c r="HE233" s="13"/>
      <c r="HF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</row>
    <row r="234" spans="1:227" ht="39.950000000000003" customHeight="1">
      <c r="A234" s="102"/>
      <c r="B234" s="80"/>
      <c r="C234" s="71">
        <v>2026</v>
      </c>
      <c r="D234" s="14">
        <f>SUM(E234:I234)</f>
        <v>3356.4</v>
      </c>
      <c r="E234" s="14">
        <v>0</v>
      </c>
      <c r="F234" s="14">
        <v>3054.3</v>
      </c>
      <c r="G234" s="14">
        <v>0</v>
      </c>
      <c r="H234" s="14">
        <v>302.10000000000002</v>
      </c>
      <c r="I234" s="14">
        <v>0</v>
      </c>
      <c r="J234" s="69"/>
      <c r="K234" s="37"/>
      <c r="L234" s="34"/>
      <c r="M234" s="34"/>
      <c r="N234" s="34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</row>
    <row r="235" spans="1:227" ht="58.5" customHeight="1">
      <c r="A235" s="90"/>
      <c r="B235" s="80"/>
      <c r="C235" s="71" t="s">
        <v>16</v>
      </c>
      <c r="D235" s="21">
        <f>SUM(D230:D234)</f>
        <v>17519.5</v>
      </c>
      <c r="E235" s="21">
        <f t="shared" ref="E235:I235" si="93">SUM(E230:E234)</f>
        <v>0</v>
      </c>
      <c r="F235" s="21">
        <f t="shared" si="93"/>
        <v>15455</v>
      </c>
      <c r="G235" s="21">
        <f t="shared" si="93"/>
        <v>227.6</v>
      </c>
      <c r="H235" s="21">
        <f t="shared" si="93"/>
        <v>1836.9</v>
      </c>
      <c r="I235" s="21">
        <f t="shared" si="93"/>
        <v>0</v>
      </c>
      <c r="J235" s="69"/>
      <c r="K235" s="34"/>
      <c r="L235" s="34"/>
      <c r="M235" s="34"/>
      <c r="N235" s="34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</row>
    <row r="236" spans="1:227" s="6" customFormat="1" ht="34.5" customHeight="1">
      <c r="A236" s="77" t="s">
        <v>82</v>
      </c>
      <c r="B236" s="80"/>
      <c r="C236" s="71">
        <v>2025</v>
      </c>
      <c r="D236" s="14">
        <f t="shared" ref="D236" si="94">SUM(E236:I236)</f>
        <v>141.19999999999999</v>
      </c>
      <c r="E236" s="14">
        <v>0</v>
      </c>
      <c r="F236" s="14">
        <v>0</v>
      </c>
      <c r="G236" s="14">
        <v>0</v>
      </c>
      <c r="H236" s="14">
        <v>141.19999999999999</v>
      </c>
      <c r="I236" s="14">
        <v>0</v>
      </c>
      <c r="J236" s="69"/>
      <c r="K236" s="37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</row>
    <row r="237" spans="1:227" s="54" customFormat="1" ht="39.75" customHeight="1">
      <c r="A237" s="78"/>
      <c r="B237" s="80"/>
      <c r="C237" s="71">
        <v>2026</v>
      </c>
      <c r="D237" s="14">
        <f>SUM(E237:I237)</f>
        <v>0</v>
      </c>
      <c r="E237" s="14">
        <v>0</v>
      </c>
      <c r="F237" s="14">
        <f>3054.3-3054.3</f>
        <v>0</v>
      </c>
      <c r="G237" s="14">
        <v>0</v>
      </c>
      <c r="H237" s="14">
        <f>302.1-302.1</f>
        <v>0</v>
      </c>
      <c r="I237" s="14">
        <v>0</v>
      </c>
      <c r="J237" s="69"/>
      <c r="K237" s="37"/>
      <c r="L237" s="6"/>
      <c r="M237" s="6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E237" s="55"/>
      <c r="BF237" s="55"/>
      <c r="BG237" s="55"/>
      <c r="BH237" s="55"/>
      <c r="BI237" s="55"/>
      <c r="BJ237" s="55"/>
      <c r="BK237" s="55"/>
      <c r="BL237" s="55"/>
      <c r="BM237" s="55"/>
      <c r="BN237" s="55"/>
      <c r="BO237" s="55"/>
      <c r="BP237" s="55"/>
      <c r="BQ237" s="55"/>
      <c r="BR237" s="55"/>
      <c r="BS237" s="55"/>
      <c r="BT237" s="55"/>
      <c r="BU237" s="55"/>
      <c r="BV237" s="55"/>
      <c r="BW237" s="55"/>
      <c r="BX237" s="55"/>
      <c r="BY237" s="55"/>
      <c r="BZ237" s="55"/>
      <c r="CA237" s="55"/>
      <c r="CB237" s="55"/>
      <c r="CC237" s="55"/>
      <c r="CD237" s="55"/>
      <c r="CE237" s="55"/>
      <c r="CF237" s="55"/>
      <c r="CG237" s="55"/>
      <c r="CH237" s="55"/>
      <c r="CI237" s="55"/>
      <c r="CJ237" s="55"/>
      <c r="CK237" s="55"/>
      <c r="CL237" s="55"/>
      <c r="CM237" s="55"/>
      <c r="CN237" s="55"/>
      <c r="CO237" s="55"/>
      <c r="CP237" s="55"/>
      <c r="CQ237" s="55"/>
      <c r="CR237" s="55"/>
      <c r="CS237" s="55"/>
      <c r="CT237" s="55"/>
      <c r="CU237" s="55"/>
      <c r="CV237" s="55"/>
      <c r="CW237" s="55"/>
      <c r="CX237" s="55"/>
      <c r="CY237" s="55"/>
      <c r="CZ237" s="55"/>
      <c r="DA237" s="55"/>
      <c r="DB237" s="55"/>
      <c r="DC237" s="55"/>
      <c r="DD237" s="55"/>
      <c r="DE237" s="55"/>
      <c r="DF237" s="55"/>
      <c r="DG237" s="55"/>
      <c r="DH237" s="55"/>
      <c r="DI237" s="55"/>
      <c r="DJ237" s="55"/>
      <c r="DK237" s="55"/>
      <c r="DL237" s="55"/>
      <c r="DM237" s="55"/>
      <c r="DN237" s="55"/>
      <c r="DO237" s="55"/>
      <c r="DP237" s="55"/>
      <c r="DQ237" s="55"/>
      <c r="DR237" s="55"/>
      <c r="DS237" s="55"/>
      <c r="DT237" s="55"/>
      <c r="DU237" s="55"/>
      <c r="DV237" s="55"/>
      <c r="DW237" s="55"/>
      <c r="DX237" s="55"/>
      <c r="DY237" s="55"/>
      <c r="DZ237" s="55"/>
      <c r="EA237" s="55"/>
      <c r="EB237" s="55"/>
      <c r="EC237" s="55"/>
      <c r="ED237" s="55"/>
      <c r="EE237" s="55"/>
      <c r="EF237" s="55"/>
      <c r="EG237" s="55"/>
      <c r="EH237" s="55"/>
      <c r="EI237" s="55"/>
      <c r="EJ237" s="55"/>
      <c r="EK237" s="55"/>
      <c r="EL237" s="55"/>
      <c r="EM237" s="55"/>
      <c r="EN237" s="55"/>
      <c r="EO237" s="55"/>
      <c r="EP237" s="55"/>
      <c r="EQ237" s="55"/>
      <c r="ER237" s="55"/>
      <c r="ES237" s="55"/>
      <c r="ET237" s="55"/>
      <c r="EU237" s="55"/>
      <c r="EV237" s="55"/>
      <c r="EW237" s="55"/>
      <c r="EX237" s="55"/>
      <c r="EY237" s="55"/>
      <c r="EZ237" s="55"/>
      <c r="FA237" s="55"/>
      <c r="FB237" s="55"/>
      <c r="FC237" s="55"/>
      <c r="FD237" s="55"/>
      <c r="FE237" s="55"/>
      <c r="FF237" s="55"/>
      <c r="FG237" s="55"/>
      <c r="FH237" s="55"/>
      <c r="FI237" s="55"/>
      <c r="FJ237" s="55"/>
      <c r="FK237" s="55"/>
      <c r="FL237" s="55"/>
      <c r="FM237" s="55"/>
      <c r="FN237" s="55"/>
      <c r="FO237" s="55"/>
      <c r="FP237" s="55"/>
      <c r="FQ237" s="55"/>
      <c r="FR237" s="55"/>
      <c r="FS237" s="55"/>
      <c r="FT237" s="55"/>
      <c r="FU237" s="55"/>
      <c r="FV237" s="55"/>
      <c r="FW237" s="55"/>
      <c r="FX237" s="55"/>
      <c r="FY237" s="55"/>
      <c r="FZ237" s="55"/>
      <c r="GA237" s="55"/>
      <c r="GB237" s="55"/>
      <c r="GC237" s="55"/>
      <c r="GD237" s="55"/>
      <c r="GE237" s="55"/>
      <c r="GF237" s="55"/>
      <c r="GG237" s="55"/>
      <c r="GH237" s="55"/>
      <c r="GI237" s="55"/>
      <c r="GJ237" s="55"/>
      <c r="GK237" s="55"/>
      <c r="GL237" s="55"/>
      <c r="GM237" s="55"/>
      <c r="GN237" s="55"/>
      <c r="GO237" s="55"/>
      <c r="GP237" s="55"/>
      <c r="GQ237" s="55"/>
      <c r="GR237" s="55"/>
      <c r="GS237" s="55"/>
      <c r="GT237" s="55"/>
      <c r="GU237" s="55"/>
      <c r="GV237" s="55"/>
      <c r="GW237" s="55"/>
      <c r="GX237" s="55"/>
      <c r="GY237" s="55"/>
      <c r="GZ237" s="55"/>
      <c r="HA237" s="55"/>
      <c r="HB237" s="55"/>
      <c r="HC237" s="55"/>
      <c r="HD237" s="55"/>
      <c r="HE237" s="55"/>
      <c r="HF237" s="55"/>
      <c r="HG237" s="55"/>
      <c r="HH237" s="55"/>
      <c r="HI237" s="55"/>
      <c r="HJ237" s="55"/>
      <c r="HK237" s="55"/>
      <c r="HL237" s="55"/>
      <c r="HM237" s="55"/>
      <c r="HN237" s="55"/>
      <c r="HO237" s="55"/>
      <c r="HP237" s="55"/>
      <c r="HQ237" s="55"/>
      <c r="HR237" s="55"/>
      <c r="HS237" s="55"/>
    </row>
    <row r="238" spans="1:227" ht="62.25" customHeight="1">
      <c r="A238" s="79"/>
      <c r="B238" s="80"/>
      <c r="C238" s="71" t="s">
        <v>16</v>
      </c>
      <c r="D238" s="14">
        <f t="shared" ref="D238:H238" si="95">SUM(D236:D237)</f>
        <v>141.19999999999999</v>
      </c>
      <c r="E238" s="14">
        <f t="shared" si="95"/>
        <v>0</v>
      </c>
      <c r="F238" s="14">
        <f t="shared" si="95"/>
        <v>0</v>
      </c>
      <c r="G238" s="14">
        <f t="shared" si="95"/>
        <v>0</v>
      </c>
      <c r="H238" s="14">
        <f t="shared" si="95"/>
        <v>141.19999999999999</v>
      </c>
      <c r="I238" s="14">
        <f>SUM(I236:I237)</f>
        <v>0</v>
      </c>
      <c r="J238" s="69"/>
    </row>
    <row r="239" spans="1:227" ht="18.75" customHeight="1">
      <c r="A239" s="77" t="s">
        <v>38</v>
      </c>
      <c r="B239" s="80"/>
      <c r="C239" s="71">
        <v>2022</v>
      </c>
      <c r="D239" s="14">
        <f t="shared" ref="D239:D240" si="96">SUM(E239:I239)</f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69"/>
    </row>
    <row r="240" spans="1:227">
      <c r="A240" s="78"/>
      <c r="B240" s="80"/>
      <c r="C240" s="71">
        <v>2023</v>
      </c>
      <c r="D240" s="14">
        <f t="shared" si="96"/>
        <v>3431</v>
      </c>
      <c r="E240" s="14">
        <v>0</v>
      </c>
      <c r="F240" s="14">
        <v>0</v>
      </c>
      <c r="G240" s="14">
        <v>0</v>
      </c>
      <c r="H240" s="14">
        <v>3431</v>
      </c>
      <c r="I240" s="14">
        <v>0</v>
      </c>
      <c r="J240" s="69"/>
    </row>
    <row r="241" spans="1:227" s="6" customFormat="1">
      <c r="A241" s="79"/>
      <c r="B241" s="80"/>
      <c r="C241" s="71" t="s">
        <v>16</v>
      </c>
      <c r="D241" s="14">
        <f t="shared" ref="D241:I241" si="97">SUM(D239:D240)</f>
        <v>3431</v>
      </c>
      <c r="E241" s="14">
        <f t="shared" si="97"/>
        <v>0</v>
      </c>
      <c r="F241" s="14">
        <f t="shared" si="97"/>
        <v>0</v>
      </c>
      <c r="G241" s="14">
        <f t="shared" si="97"/>
        <v>0</v>
      </c>
      <c r="H241" s="14">
        <f t="shared" si="97"/>
        <v>3431</v>
      </c>
      <c r="I241" s="14">
        <f t="shared" si="97"/>
        <v>0</v>
      </c>
      <c r="J241" s="69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</row>
    <row r="242" spans="1:227" s="6" customFormat="1">
      <c r="A242" s="77" t="s">
        <v>65</v>
      </c>
      <c r="B242" s="80"/>
      <c r="C242" s="71">
        <v>2022</v>
      </c>
      <c r="D242" s="14">
        <f>SUM(E242:I242)</f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69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</row>
    <row r="243" spans="1:227" s="6" customFormat="1">
      <c r="A243" s="78"/>
      <c r="B243" s="80"/>
      <c r="C243" s="71">
        <v>2023</v>
      </c>
      <c r="D243" s="14">
        <f>SUM(E243:I243)</f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69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</row>
    <row r="244" spans="1:227" s="6" customFormat="1">
      <c r="A244" s="79"/>
      <c r="B244" s="80"/>
      <c r="C244" s="71" t="s">
        <v>16</v>
      </c>
      <c r="D244" s="14">
        <f>SUM(D242:D243)</f>
        <v>0</v>
      </c>
      <c r="E244" s="14">
        <f t="shared" ref="E244:I244" si="98">SUM(E242:E243)</f>
        <v>0</v>
      </c>
      <c r="F244" s="14">
        <f t="shared" si="98"/>
        <v>0</v>
      </c>
      <c r="G244" s="14">
        <f t="shared" si="98"/>
        <v>0</v>
      </c>
      <c r="H244" s="14">
        <f t="shared" si="98"/>
        <v>0</v>
      </c>
      <c r="I244" s="14">
        <f t="shared" si="98"/>
        <v>0</v>
      </c>
      <c r="J244" s="69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</row>
    <row r="245" spans="1:227" s="6" customFormat="1" ht="18.75" customHeight="1">
      <c r="A245" s="77" t="s">
        <v>39</v>
      </c>
      <c r="B245" s="80"/>
      <c r="C245" s="71">
        <v>2022</v>
      </c>
      <c r="D245" s="14">
        <f t="shared" ref="D245:D246" si="99">SUM(E245:I245)</f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69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</row>
    <row r="246" spans="1:227" s="6" customFormat="1">
      <c r="A246" s="78"/>
      <c r="B246" s="80"/>
      <c r="C246" s="71">
        <v>2023</v>
      </c>
      <c r="D246" s="14">
        <f t="shared" si="99"/>
        <v>1000</v>
      </c>
      <c r="E246" s="14">
        <v>0</v>
      </c>
      <c r="F246" s="14">
        <v>950</v>
      </c>
      <c r="G246" s="14">
        <v>0</v>
      </c>
      <c r="H246" s="14">
        <v>50</v>
      </c>
      <c r="I246" s="14">
        <v>0</v>
      </c>
      <c r="J246" s="69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</row>
    <row r="247" spans="1:227" s="6" customFormat="1">
      <c r="A247" s="79"/>
      <c r="B247" s="80"/>
      <c r="C247" s="71" t="s">
        <v>16</v>
      </c>
      <c r="D247" s="14">
        <f t="shared" ref="D247:I247" si="100">SUM(D245:D246)</f>
        <v>1000</v>
      </c>
      <c r="E247" s="14">
        <f t="shared" si="100"/>
        <v>0</v>
      </c>
      <c r="F247" s="14">
        <f t="shared" si="100"/>
        <v>950</v>
      </c>
      <c r="G247" s="14">
        <f t="shared" si="100"/>
        <v>0</v>
      </c>
      <c r="H247" s="14">
        <f t="shared" si="100"/>
        <v>50</v>
      </c>
      <c r="I247" s="14">
        <f t="shared" si="100"/>
        <v>0</v>
      </c>
      <c r="J247" s="69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</row>
    <row r="248" spans="1:227" s="6" customFormat="1" ht="18.75" customHeight="1">
      <c r="A248" s="77" t="s">
        <v>40</v>
      </c>
      <c r="B248" s="80"/>
      <c r="C248" s="71">
        <v>2022</v>
      </c>
      <c r="D248" s="14">
        <f t="shared" ref="D248:D249" si="101">SUM(E248:I248)</f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69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</row>
    <row r="249" spans="1:227" s="6" customFormat="1">
      <c r="A249" s="78"/>
      <c r="B249" s="80"/>
      <c r="C249" s="71">
        <v>2023</v>
      </c>
      <c r="D249" s="14">
        <f t="shared" si="101"/>
        <v>560</v>
      </c>
      <c r="E249" s="14">
        <v>0</v>
      </c>
      <c r="F249" s="14">
        <v>0</v>
      </c>
      <c r="G249" s="14">
        <v>509.6</v>
      </c>
      <c r="H249" s="14">
        <v>50.4</v>
      </c>
      <c r="I249" s="14">
        <v>0</v>
      </c>
      <c r="J249" s="69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</row>
    <row r="250" spans="1:227" s="6" customFormat="1" ht="30.75" customHeight="1">
      <c r="A250" s="79"/>
      <c r="B250" s="80"/>
      <c r="C250" s="71" t="s">
        <v>16</v>
      </c>
      <c r="D250" s="14">
        <f t="shared" ref="D250:I250" si="102">SUM(D248:D249)</f>
        <v>560</v>
      </c>
      <c r="E250" s="14">
        <f t="shared" si="102"/>
        <v>0</v>
      </c>
      <c r="F250" s="14">
        <f t="shared" si="102"/>
        <v>0</v>
      </c>
      <c r="G250" s="14">
        <f t="shared" si="102"/>
        <v>509.6</v>
      </c>
      <c r="H250" s="14">
        <f t="shared" si="102"/>
        <v>50.4</v>
      </c>
      <c r="I250" s="14">
        <f t="shared" si="102"/>
        <v>0</v>
      </c>
      <c r="J250" s="69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</row>
    <row r="251" spans="1:227" s="6" customFormat="1">
      <c r="A251" s="77" t="s">
        <v>41</v>
      </c>
      <c r="B251" s="80"/>
      <c r="C251" s="71">
        <v>2022</v>
      </c>
      <c r="D251" s="14">
        <f t="shared" ref="D251:D254" si="103">SUM(E251:I251)</f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69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</row>
    <row r="252" spans="1:227" s="6" customFormat="1">
      <c r="A252" s="78"/>
      <c r="B252" s="80"/>
      <c r="C252" s="71">
        <v>2023</v>
      </c>
      <c r="D252" s="14">
        <f t="shared" si="103"/>
        <v>5870.7</v>
      </c>
      <c r="E252" s="14">
        <v>0</v>
      </c>
      <c r="F252" s="14">
        <v>0</v>
      </c>
      <c r="G252" s="14">
        <v>5342.3</v>
      </c>
      <c r="H252" s="14">
        <v>528.4</v>
      </c>
      <c r="I252" s="14">
        <v>0</v>
      </c>
      <c r="J252" s="69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</row>
    <row r="253" spans="1:227" s="6" customFormat="1">
      <c r="A253" s="78"/>
      <c r="B253" s="80"/>
      <c r="C253" s="71">
        <v>2024</v>
      </c>
      <c r="D253" s="14">
        <f t="shared" si="103"/>
        <v>73222.7</v>
      </c>
      <c r="E253" s="14">
        <v>0</v>
      </c>
      <c r="F253" s="14">
        <v>0</v>
      </c>
      <c r="G253" s="14">
        <v>67364.899999999994</v>
      </c>
      <c r="H253" s="14">
        <v>5857.8</v>
      </c>
      <c r="I253" s="14">
        <v>0</v>
      </c>
      <c r="J253" s="69"/>
      <c r="K253" s="44"/>
      <c r="L253" s="44"/>
      <c r="M253" s="44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</row>
    <row r="254" spans="1:227" s="6" customFormat="1">
      <c r="A254" s="78"/>
      <c r="B254" s="80"/>
      <c r="C254" s="71">
        <v>2025</v>
      </c>
      <c r="D254" s="14">
        <f t="shared" si="103"/>
        <v>24642.000000000004</v>
      </c>
      <c r="E254" s="14">
        <v>0</v>
      </c>
      <c r="F254" s="14">
        <v>0</v>
      </c>
      <c r="G254" s="14">
        <f>41127.3-19912.3</f>
        <v>21215.000000000004</v>
      </c>
      <c r="H254" s="14">
        <f>3576.5-149.5</f>
        <v>3427</v>
      </c>
      <c r="I254" s="14">
        <v>0</v>
      </c>
      <c r="J254" s="69"/>
      <c r="K254" s="37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</row>
    <row r="255" spans="1:227" s="6" customFormat="1">
      <c r="A255" s="78"/>
      <c r="B255" s="80"/>
      <c r="C255" s="71">
        <v>2026</v>
      </c>
      <c r="D255" s="14">
        <f>SUM(E255:I255)</f>
        <v>21328</v>
      </c>
      <c r="E255" s="14">
        <v>0</v>
      </c>
      <c r="F255" s="14">
        <v>0</v>
      </c>
      <c r="G255" s="14">
        <v>19621.7</v>
      </c>
      <c r="H255" s="14">
        <v>1706.3</v>
      </c>
      <c r="I255" s="14">
        <v>0</v>
      </c>
      <c r="J255" s="69"/>
      <c r="K255" s="37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</row>
    <row r="256" spans="1:227" s="6" customFormat="1">
      <c r="A256" s="79"/>
      <c r="B256" s="80"/>
      <c r="C256" s="71" t="s">
        <v>16</v>
      </c>
      <c r="D256" s="14">
        <f>SUM(D251:D255)</f>
        <v>125063.4</v>
      </c>
      <c r="E256" s="14">
        <f t="shared" ref="E256:H256" si="104">SUM(E251:E255)</f>
        <v>0</v>
      </c>
      <c r="F256" s="14">
        <f t="shared" si="104"/>
        <v>0</v>
      </c>
      <c r="G256" s="14">
        <f t="shared" si="104"/>
        <v>113543.9</v>
      </c>
      <c r="H256" s="14">
        <f t="shared" si="104"/>
        <v>11519.5</v>
      </c>
      <c r="I256" s="14">
        <f>SUM(I251:I255)</f>
        <v>0</v>
      </c>
      <c r="J256" s="69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</row>
    <row r="257" spans="1:227" s="6" customFormat="1" ht="18.75" customHeight="1">
      <c r="A257" s="77" t="s">
        <v>42</v>
      </c>
      <c r="B257" s="80"/>
      <c r="C257" s="71">
        <v>2022</v>
      </c>
      <c r="D257" s="14">
        <f t="shared" ref="D257:D260" si="105">SUM(E257:I257)</f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69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</row>
    <row r="258" spans="1:227" s="6" customFormat="1">
      <c r="A258" s="78"/>
      <c r="B258" s="80"/>
      <c r="C258" s="71">
        <v>2023</v>
      </c>
      <c r="D258" s="14">
        <f t="shared" si="105"/>
        <v>6289</v>
      </c>
      <c r="E258" s="14">
        <v>0</v>
      </c>
      <c r="F258" s="14">
        <v>0</v>
      </c>
      <c r="G258" s="14">
        <v>6289</v>
      </c>
      <c r="H258" s="14">
        <v>0</v>
      </c>
      <c r="I258" s="14">
        <v>0</v>
      </c>
      <c r="J258" s="69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</row>
    <row r="259" spans="1:227" s="6" customFormat="1">
      <c r="A259" s="78"/>
      <c r="B259" s="80"/>
      <c r="C259" s="71">
        <v>2024</v>
      </c>
      <c r="D259" s="14">
        <f t="shared" si="105"/>
        <v>8888.7999999999993</v>
      </c>
      <c r="E259" s="14">
        <v>0</v>
      </c>
      <c r="F259" s="14">
        <v>0</v>
      </c>
      <c r="G259" s="14">
        <v>8888.7999999999993</v>
      </c>
      <c r="H259" s="14">
        <v>0</v>
      </c>
      <c r="I259" s="14">
        <v>0</v>
      </c>
      <c r="J259" s="69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</row>
    <row r="260" spans="1:227" s="6" customFormat="1" ht="18" customHeight="1">
      <c r="A260" s="78"/>
      <c r="B260" s="80"/>
      <c r="C260" s="71">
        <v>2025</v>
      </c>
      <c r="D260" s="14">
        <f t="shared" si="105"/>
        <v>5994.2999999999993</v>
      </c>
      <c r="E260" s="14">
        <v>0</v>
      </c>
      <c r="F260" s="14">
        <v>0</v>
      </c>
      <c r="G260" s="14">
        <f>5994.4-0.1</f>
        <v>5994.2999999999993</v>
      </c>
      <c r="H260" s="14">
        <v>0</v>
      </c>
      <c r="I260" s="14">
        <v>0</v>
      </c>
      <c r="J260" s="69"/>
      <c r="K260" s="37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</row>
    <row r="261" spans="1:227" s="6" customFormat="1">
      <c r="A261" s="79"/>
      <c r="B261" s="80"/>
      <c r="C261" s="71" t="s">
        <v>16</v>
      </c>
      <c r="D261" s="14">
        <f t="shared" ref="D261:I261" si="106">SUM(D257:D260)</f>
        <v>21172.1</v>
      </c>
      <c r="E261" s="14">
        <f t="shared" si="106"/>
        <v>0</v>
      </c>
      <c r="F261" s="14">
        <f t="shared" si="106"/>
        <v>0</v>
      </c>
      <c r="G261" s="14">
        <f t="shared" si="106"/>
        <v>21172.1</v>
      </c>
      <c r="H261" s="14">
        <f t="shared" si="106"/>
        <v>0</v>
      </c>
      <c r="I261" s="14">
        <f t="shared" si="106"/>
        <v>0</v>
      </c>
      <c r="J261" s="69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</row>
    <row r="262" spans="1:227" s="6" customFormat="1" ht="36" customHeight="1">
      <c r="A262" s="77" t="s">
        <v>83</v>
      </c>
      <c r="B262" s="80"/>
      <c r="C262" s="71">
        <v>2025</v>
      </c>
      <c r="D262" s="14">
        <f t="shared" ref="D262" si="107">SUM(E262:I262)</f>
        <v>0</v>
      </c>
      <c r="E262" s="14">
        <v>0</v>
      </c>
      <c r="F262" s="14">
        <v>0</v>
      </c>
      <c r="G262" s="14">
        <f>698.4-698.4</f>
        <v>0</v>
      </c>
      <c r="H262" s="14">
        <v>0</v>
      </c>
      <c r="I262" s="14">
        <v>0</v>
      </c>
      <c r="J262" s="69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</row>
    <row r="263" spans="1:227" s="54" customFormat="1" ht="36" customHeight="1">
      <c r="A263" s="78"/>
      <c r="B263" s="80"/>
      <c r="C263" s="71">
        <v>2026</v>
      </c>
      <c r="D263" s="14">
        <f>SUM(E263:I263)</f>
        <v>1.7340000000000001E-2</v>
      </c>
      <c r="E263" s="14">
        <v>0</v>
      </c>
      <c r="F263" s="14">
        <v>0</v>
      </c>
      <c r="G263" s="14">
        <f>0+0.01734</f>
        <v>1.7340000000000001E-2</v>
      </c>
      <c r="H263" s="14">
        <v>0</v>
      </c>
      <c r="I263" s="14">
        <v>0</v>
      </c>
      <c r="J263" s="69"/>
      <c r="K263" s="6"/>
      <c r="L263" s="6"/>
      <c r="M263" s="6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5"/>
      <c r="BE263" s="55"/>
      <c r="BF263" s="55"/>
      <c r="BG263" s="55"/>
      <c r="BH263" s="55"/>
      <c r="BI263" s="55"/>
      <c r="BJ263" s="55"/>
      <c r="BK263" s="55"/>
      <c r="BL263" s="55"/>
      <c r="BM263" s="55"/>
      <c r="BN263" s="55"/>
      <c r="BO263" s="55"/>
      <c r="BP263" s="55"/>
      <c r="BQ263" s="55"/>
      <c r="BR263" s="55"/>
      <c r="BS263" s="55"/>
      <c r="BT263" s="55"/>
      <c r="BU263" s="55"/>
      <c r="BV263" s="55"/>
      <c r="BW263" s="55"/>
      <c r="BX263" s="55"/>
      <c r="BY263" s="55"/>
      <c r="BZ263" s="55"/>
      <c r="CA263" s="55"/>
      <c r="CB263" s="55"/>
      <c r="CC263" s="55"/>
      <c r="CD263" s="55"/>
      <c r="CE263" s="55"/>
      <c r="CF263" s="55"/>
      <c r="CG263" s="55"/>
      <c r="CH263" s="55"/>
      <c r="CI263" s="55"/>
      <c r="CJ263" s="55"/>
      <c r="CK263" s="55"/>
      <c r="CL263" s="55"/>
      <c r="CM263" s="55"/>
      <c r="CN263" s="55"/>
      <c r="CO263" s="55"/>
      <c r="CP263" s="55"/>
      <c r="CQ263" s="55"/>
      <c r="CR263" s="55"/>
      <c r="CS263" s="55"/>
      <c r="CT263" s="55"/>
      <c r="CU263" s="55"/>
      <c r="CV263" s="55"/>
      <c r="CW263" s="55"/>
      <c r="CX263" s="55"/>
      <c r="CY263" s="55"/>
      <c r="CZ263" s="55"/>
      <c r="DA263" s="55"/>
      <c r="DB263" s="55"/>
      <c r="DC263" s="55"/>
      <c r="DD263" s="55"/>
      <c r="DE263" s="55"/>
      <c r="DF263" s="55"/>
      <c r="DG263" s="55"/>
      <c r="DH263" s="55"/>
      <c r="DI263" s="55"/>
      <c r="DJ263" s="55"/>
      <c r="DK263" s="55"/>
      <c r="DL263" s="55"/>
      <c r="DM263" s="55"/>
      <c r="DN263" s="55"/>
      <c r="DO263" s="55"/>
      <c r="DP263" s="55"/>
      <c r="DQ263" s="55"/>
      <c r="DR263" s="55"/>
      <c r="DS263" s="55"/>
      <c r="DT263" s="55"/>
      <c r="DU263" s="55"/>
      <c r="DV263" s="55"/>
      <c r="DW263" s="55"/>
      <c r="DX263" s="55"/>
      <c r="DY263" s="55"/>
      <c r="DZ263" s="55"/>
      <c r="EA263" s="55"/>
      <c r="EB263" s="55"/>
      <c r="EC263" s="55"/>
      <c r="ED263" s="55"/>
      <c r="EE263" s="55"/>
      <c r="EF263" s="55"/>
      <c r="EG263" s="55"/>
      <c r="EH263" s="55"/>
      <c r="EI263" s="55"/>
      <c r="EJ263" s="55"/>
      <c r="EK263" s="55"/>
      <c r="EL263" s="55"/>
      <c r="EM263" s="55"/>
      <c r="EN263" s="55"/>
      <c r="EO263" s="55"/>
      <c r="EP263" s="55"/>
      <c r="EQ263" s="55"/>
      <c r="ER263" s="55"/>
      <c r="ES263" s="55"/>
      <c r="ET263" s="55"/>
      <c r="EU263" s="55"/>
      <c r="EV263" s="55"/>
      <c r="EW263" s="55"/>
      <c r="EX263" s="55"/>
      <c r="EY263" s="55"/>
      <c r="EZ263" s="55"/>
      <c r="FA263" s="55"/>
      <c r="FB263" s="55"/>
      <c r="FC263" s="55"/>
      <c r="FD263" s="55"/>
      <c r="FE263" s="55"/>
      <c r="FF263" s="55"/>
      <c r="FG263" s="55"/>
      <c r="FH263" s="55"/>
      <c r="FI263" s="55"/>
      <c r="FJ263" s="55"/>
      <c r="FK263" s="55"/>
      <c r="FL263" s="55"/>
      <c r="FM263" s="55"/>
      <c r="FN263" s="55"/>
      <c r="FO263" s="55"/>
      <c r="FP263" s="55"/>
      <c r="FQ263" s="55"/>
      <c r="FR263" s="55"/>
      <c r="FS263" s="55"/>
      <c r="FT263" s="55"/>
      <c r="FU263" s="55"/>
      <c r="FV263" s="55"/>
      <c r="FW263" s="55"/>
      <c r="FX263" s="55"/>
      <c r="FY263" s="55"/>
      <c r="FZ263" s="55"/>
      <c r="GA263" s="55"/>
      <c r="GB263" s="55"/>
      <c r="GC263" s="55"/>
      <c r="GD263" s="55"/>
      <c r="GE263" s="55"/>
      <c r="GF263" s="55"/>
      <c r="GG263" s="55"/>
      <c r="GH263" s="55"/>
      <c r="GI263" s="55"/>
      <c r="GJ263" s="55"/>
      <c r="GK263" s="55"/>
      <c r="GL263" s="55"/>
      <c r="GM263" s="55"/>
      <c r="GN263" s="55"/>
      <c r="GO263" s="55"/>
      <c r="GP263" s="55"/>
      <c r="GQ263" s="55"/>
      <c r="GR263" s="55"/>
      <c r="GS263" s="55"/>
      <c r="GT263" s="55"/>
      <c r="GU263" s="55"/>
      <c r="GV263" s="55"/>
      <c r="GW263" s="55"/>
      <c r="GX263" s="55"/>
      <c r="GY263" s="55"/>
      <c r="GZ263" s="55"/>
      <c r="HA263" s="55"/>
      <c r="HB263" s="55"/>
      <c r="HC263" s="55"/>
      <c r="HD263" s="55"/>
      <c r="HE263" s="55"/>
      <c r="HF263" s="55"/>
      <c r="HG263" s="55"/>
      <c r="HH263" s="55"/>
      <c r="HI263" s="55"/>
      <c r="HJ263" s="55"/>
      <c r="HK263" s="55"/>
      <c r="HL263" s="55"/>
      <c r="HM263" s="55"/>
      <c r="HN263" s="55"/>
      <c r="HO263" s="55"/>
      <c r="HP263" s="55"/>
      <c r="HQ263" s="55"/>
      <c r="HR263" s="55"/>
      <c r="HS263" s="55"/>
    </row>
    <row r="264" spans="1:227" ht="38.25" customHeight="1">
      <c r="A264" s="79"/>
      <c r="B264" s="80"/>
      <c r="C264" s="71" t="s">
        <v>16</v>
      </c>
      <c r="D264" s="14">
        <f t="shared" ref="D264:H264" si="108">SUM(D262:D263)</f>
        <v>1.7340000000000001E-2</v>
      </c>
      <c r="E264" s="14">
        <f t="shared" si="108"/>
        <v>0</v>
      </c>
      <c r="F264" s="14">
        <f t="shared" si="108"/>
        <v>0</v>
      </c>
      <c r="G264" s="14">
        <f t="shared" si="108"/>
        <v>1.7340000000000001E-2</v>
      </c>
      <c r="H264" s="14">
        <f t="shared" si="108"/>
        <v>0</v>
      </c>
      <c r="I264" s="14">
        <f>SUM(I262:I263)</f>
        <v>0</v>
      </c>
      <c r="J264" s="69"/>
    </row>
    <row r="265" spans="1:227" s="6" customFormat="1" ht="49.5" customHeight="1">
      <c r="A265" s="77" t="s">
        <v>87</v>
      </c>
      <c r="B265" s="80"/>
      <c r="C265" s="71">
        <v>2025</v>
      </c>
      <c r="D265" s="14">
        <f t="shared" ref="D265" si="109">SUM(E265:I265)</f>
        <v>2224.4</v>
      </c>
      <c r="E265" s="14">
        <v>0</v>
      </c>
      <c r="F265" s="14">
        <v>0</v>
      </c>
      <c r="G265" s="14">
        <f>698.4-698.4</f>
        <v>0</v>
      </c>
      <c r="H265" s="14">
        <v>2224.4</v>
      </c>
      <c r="I265" s="14">
        <v>0</v>
      </c>
      <c r="J265" s="69"/>
      <c r="K265" s="40"/>
      <c r="L265" s="40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</row>
    <row r="266" spans="1:227" ht="50.25" customHeight="1">
      <c r="A266" s="79"/>
      <c r="B266" s="80"/>
      <c r="C266" s="71" t="s">
        <v>16</v>
      </c>
      <c r="D266" s="14">
        <f t="shared" ref="D266:I266" si="110">SUM(D265:D265)</f>
        <v>2224.4</v>
      </c>
      <c r="E266" s="14">
        <f t="shared" si="110"/>
        <v>0</v>
      </c>
      <c r="F266" s="14">
        <f t="shared" si="110"/>
        <v>0</v>
      </c>
      <c r="G266" s="14">
        <f t="shared" si="110"/>
        <v>0</v>
      </c>
      <c r="H266" s="14">
        <f t="shared" si="110"/>
        <v>2224.4</v>
      </c>
      <c r="I266" s="14">
        <f t="shared" si="110"/>
        <v>0</v>
      </c>
      <c r="J266" s="69"/>
    </row>
    <row r="267" spans="1:227" s="6" customFormat="1">
      <c r="A267" s="96" t="s">
        <v>71</v>
      </c>
      <c r="B267" s="97"/>
      <c r="C267" s="97"/>
      <c r="D267" s="97"/>
      <c r="E267" s="97"/>
      <c r="F267" s="97"/>
      <c r="G267" s="97"/>
      <c r="H267" s="97"/>
      <c r="I267" s="98"/>
      <c r="J267" s="38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</row>
    <row r="268" spans="1:227" s="6" customFormat="1">
      <c r="A268" s="81" t="s">
        <v>16</v>
      </c>
      <c r="B268" s="99"/>
      <c r="C268" s="72">
        <v>2022</v>
      </c>
      <c r="D268" s="15">
        <f t="shared" ref="D268:I269" si="111">D276+D284</f>
        <v>9887.1</v>
      </c>
      <c r="E268" s="15">
        <f t="shared" si="111"/>
        <v>0</v>
      </c>
      <c r="F268" s="15">
        <f t="shared" si="111"/>
        <v>0</v>
      </c>
      <c r="G268" s="15">
        <f t="shared" si="111"/>
        <v>0</v>
      </c>
      <c r="H268" s="15">
        <f t="shared" si="111"/>
        <v>9887.1</v>
      </c>
      <c r="I268" s="15">
        <f t="shared" si="111"/>
        <v>0</v>
      </c>
      <c r="J268" s="67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</row>
    <row r="269" spans="1:227" s="6" customFormat="1">
      <c r="A269" s="85"/>
      <c r="B269" s="100"/>
      <c r="C269" s="72">
        <v>2023</v>
      </c>
      <c r="D269" s="15">
        <f t="shared" si="111"/>
        <v>9388.4</v>
      </c>
      <c r="E269" s="15">
        <f t="shared" si="111"/>
        <v>0</v>
      </c>
      <c r="F269" s="15">
        <f t="shared" si="111"/>
        <v>0</v>
      </c>
      <c r="G269" s="15">
        <f t="shared" si="111"/>
        <v>628.5</v>
      </c>
      <c r="H269" s="15">
        <f t="shared" si="111"/>
        <v>8759.9</v>
      </c>
      <c r="I269" s="15">
        <f t="shared" si="111"/>
        <v>0</v>
      </c>
      <c r="J269" s="67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</row>
    <row r="270" spans="1:227" s="6" customFormat="1">
      <c r="A270" s="85"/>
      <c r="B270" s="100"/>
      <c r="C270" s="72">
        <v>2024</v>
      </c>
      <c r="D270" s="15">
        <f>SUM(E270:I270)</f>
        <v>6247.3</v>
      </c>
      <c r="E270" s="15">
        <f t="shared" ref="E270:I270" si="112">E278</f>
        <v>0</v>
      </c>
      <c r="F270" s="15">
        <f t="shared" si="112"/>
        <v>0</v>
      </c>
      <c r="G270" s="15">
        <f t="shared" si="112"/>
        <v>0</v>
      </c>
      <c r="H270" s="15">
        <f t="shared" si="112"/>
        <v>6247.3</v>
      </c>
      <c r="I270" s="15">
        <f t="shared" si="112"/>
        <v>0</v>
      </c>
      <c r="J270" s="67"/>
      <c r="L270" s="4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</row>
    <row r="271" spans="1:227" s="6" customFormat="1">
      <c r="A271" s="85"/>
      <c r="B271" s="100"/>
      <c r="C271" s="72">
        <v>2025</v>
      </c>
      <c r="D271" s="15">
        <f>SUM(E271:I271)</f>
        <v>9621.1999999999989</v>
      </c>
      <c r="E271" s="15">
        <f t="shared" ref="E271:I273" si="113">E279+E287</f>
        <v>0</v>
      </c>
      <c r="F271" s="15">
        <f t="shared" si="113"/>
        <v>0</v>
      </c>
      <c r="G271" s="15">
        <f t="shared" si="113"/>
        <v>0</v>
      </c>
      <c r="H271" s="15">
        <f t="shared" si="113"/>
        <v>9621.1999999999989</v>
      </c>
      <c r="I271" s="15">
        <f t="shared" si="113"/>
        <v>0</v>
      </c>
      <c r="J271" s="67"/>
      <c r="K271" s="36"/>
      <c r="L271" s="40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</row>
    <row r="272" spans="1:227" s="6" customFormat="1">
      <c r="A272" s="85"/>
      <c r="B272" s="100"/>
      <c r="C272" s="72">
        <v>2026</v>
      </c>
      <c r="D272" s="15">
        <f>SUM(E272:I272)</f>
        <v>13720.9</v>
      </c>
      <c r="E272" s="15">
        <f t="shared" si="113"/>
        <v>0</v>
      </c>
      <c r="F272" s="15">
        <f t="shared" si="113"/>
        <v>0</v>
      </c>
      <c r="G272" s="15">
        <f t="shared" si="113"/>
        <v>0</v>
      </c>
      <c r="H272" s="15">
        <f t="shared" si="113"/>
        <v>13720.9</v>
      </c>
      <c r="I272" s="15">
        <f t="shared" si="113"/>
        <v>0</v>
      </c>
      <c r="J272" s="67"/>
      <c r="K272" s="3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</row>
    <row r="273" spans="1:227" s="6" customFormat="1">
      <c r="A273" s="85"/>
      <c r="B273" s="100"/>
      <c r="C273" s="72">
        <v>2027</v>
      </c>
      <c r="D273" s="15">
        <f>SUM(E273:I273)</f>
        <v>12394.2</v>
      </c>
      <c r="E273" s="15">
        <f t="shared" si="113"/>
        <v>0</v>
      </c>
      <c r="F273" s="15">
        <f t="shared" si="113"/>
        <v>0</v>
      </c>
      <c r="G273" s="15">
        <f t="shared" si="113"/>
        <v>0</v>
      </c>
      <c r="H273" s="15">
        <f t="shared" si="113"/>
        <v>12394.2</v>
      </c>
      <c r="I273" s="15">
        <f t="shared" si="113"/>
        <v>0</v>
      </c>
      <c r="J273" s="67"/>
      <c r="K273" s="3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</row>
    <row r="274" spans="1:227" s="6" customFormat="1">
      <c r="A274" s="85"/>
      <c r="B274" s="100"/>
      <c r="C274" s="72">
        <v>2028</v>
      </c>
      <c r="D274" s="15">
        <f>SUM(E274:I274)</f>
        <v>24915.1</v>
      </c>
      <c r="E274" s="15">
        <f t="shared" ref="E274:H274" si="114">E282</f>
        <v>0</v>
      </c>
      <c r="F274" s="15">
        <f t="shared" si="114"/>
        <v>0</v>
      </c>
      <c r="G274" s="15">
        <f t="shared" si="114"/>
        <v>0</v>
      </c>
      <c r="H274" s="15">
        <f t="shared" si="114"/>
        <v>24915.1</v>
      </c>
      <c r="I274" s="15">
        <f>I282</f>
        <v>0</v>
      </c>
      <c r="J274" s="67"/>
      <c r="K274" s="3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</row>
    <row r="275" spans="1:227" s="6" customFormat="1">
      <c r="A275" s="82"/>
      <c r="B275" s="101"/>
      <c r="C275" s="72" t="s">
        <v>16</v>
      </c>
      <c r="D275" s="15">
        <f>SUM(D268:D274)</f>
        <v>86174.200000000012</v>
      </c>
      <c r="E275" s="15">
        <f t="shared" ref="E275:H275" si="115">SUM(E268:E274)</f>
        <v>0</v>
      </c>
      <c r="F275" s="15">
        <f t="shared" si="115"/>
        <v>0</v>
      </c>
      <c r="G275" s="15">
        <f t="shared" si="115"/>
        <v>628.5</v>
      </c>
      <c r="H275" s="15">
        <f t="shared" si="115"/>
        <v>85545.700000000012</v>
      </c>
      <c r="I275" s="15">
        <f>SUM(I268:I274)</f>
        <v>0</v>
      </c>
      <c r="J275" s="67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</row>
    <row r="276" spans="1:227" s="6" customFormat="1">
      <c r="A276" s="77" t="s">
        <v>43</v>
      </c>
      <c r="B276" s="80"/>
      <c r="C276" s="71">
        <v>2022</v>
      </c>
      <c r="D276" s="14">
        <f t="shared" ref="D276:D281" si="116">SUM(E276:I276)</f>
        <v>9887.1</v>
      </c>
      <c r="E276" s="14">
        <v>0</v>
      </c>
      <c r="F276" s="14">
        <v>0</v>
      </c>
      <c r="G276" s="14">
        <v>0</v>
      </c>
      <c r="H276" s="14">
        <v>9887.1</v>
      </c>
      <c r="I276" s="14">
        <v>0</v>
      </c>
      <c r="J276" s="69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</row>
    <row r="277" spans="1:227" s="6" customFormat="1">
      <c r="A277" s="78"/>
      <c r="B277" s="80"/>
      <c r="C277" s="71">
        <v>2023</v>
      </c>
      <c r="D277" s="14">
        <f t="shared" si="116"/>
        <v>8685.5</v>
      </c>
      <c r="E277" s="14">
        <v>0</v>
      </c>
      <c r="F277" s="14">
        <v>0</v>
      </c>
      <c r="G277" s="14">
        <v>0</v>
      </c>
      <c r="H277" s="14">
        <v>8685.5</v>
      </c>
      <c r="I277" s="14">
        <v>0</v>
      </c>
      <c r="J277" s="69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</row>
    <row r="278" spans="1:227" s="6" customFormat="1">
      <c r="A278" s="78"/>
      <c r="B278" s="80"/>
      <c r="C278" s="71">
        <v>2024</v>
      </c>
      <c r="D278" s="14">
        <f t="shared" si="116"/>
        <v>6247.3</v>
      </c>
      <c r="E278" s="14">
        <v>0</v>
      </c>
      <c r="F278" s="14">
        <v>0</v>
      </c>
      <c r="G278" s="14">
        <v>0</v>
      </c>
      <c r="H278" s="14">
        <v>6247.3</v>
      </c>
      <c r="I278" s="14">
        <v>0</v>
      </c>
      <c r="J278" s="69"/>
      <c r="K278" s="43"/>
      <c r="L278" s="4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</row>
    <row r="279" spans="1:227" s="6" customFormat="1">
      <c r="A279" s="78"/>
      <c r="B279" s="80"/>
      <c r="C279" s="71">
        <v>2025</v>
      </c>
      <c r="D279" s="14">
        <f t="shared" si="116"/>
        <v>9578.7999999999993</v>
      </c>
      <c r="E279" s="14">
        <v>0</v>
      </c>
      <c r="F279" s="14">
        <v>0</v>
      </c>
      <c r="G279" s="14">
        <v>0</v>
      </c>
      <c r="H279" s="14">
        <f>8958.8+611+9</f>
        <v>9578.7999999999993</v>
      </c>
      <c r="I279" s="14">
        <v>0</v>
      </c>
      <c r="J279" s="69"/>
      <c r="K279" s="37"/>
      <c r="L279" s="37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</row>
    <row r="280" spans="1:227" s="6" customFormat="1">
      <c r="A280" s="78"/>
      <c r="B280" s="80"/>
      <c r="C280" s="71">
        <v>2026</v>
      </c>
      <c r="D280" s="14">
        <f>SUM(E280:I280)</f>
        <v>13623.8</v>
      </c>
      <c r="E280" s="14">
        <v>0</v>
      </c>
      <c r="F280" s="14">
        <v>0</v>
      </c>
      <c r="G280" s="14">
        <v>0</v>
      </c>
      <c r="H280" s="14">
        <f>7223.8+6400</f>
        <v>13623.8</v>
      </c>
      <c r="I280" s="14">
        <v>0</v>
      </c>
      <c r="J280" s="59"/>
      <c r="K280" s="37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</row>
    <row r="281" spans="1:227" s="6" customFormat="1">
      <c r="A281" s="78"/>
      <c r="B281" s="80"/>
      <c r="C281" s="71">
        <v>2027</v>
      </c>
      <c r="D281" s="14">
        <f t="shared" si="116"/>
        <v>12297.1</v>
      </c>
      <c r="E281" s="14">
        <v>0</v>
      </c>
      <c r="F281" s="14">
        <v>0</v>
      </c>
      <c r="G281" s="14">
        <v>0</v>
      </c>
      <c r="H281" s="14">
        <v>12297.1</v>
      </c>
      <c r="I281" s="14">
        <v>0</v>
      </c>
      <c r="J281" s="69"/>
      <c r="K281" s="37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</row>
    <row r="282" spans="1:227" s="6" customFormat="1">
      <c r="A282" s="78"/>
      <c r="B282" s="80"/>
      <c r="C282" s="71">
        <v>2028</v>
      </c>
      <c r="D282" s="14">
        <f>SUM(E282:I282)</f>
        <v>24915.1</v>
      </c>
      <c r="E282" s="14">
        <v>0</v>
      </c>
      <c r="F282" s="14">
        <v>0</v>
      </c>
      <c r="G282" s="14">
        <v>0</v>
      </c>
      <c r="H282" s="14">
        <v>24915.1</v>
      </c>
      <c r="I282" s="14">
        <v>0</v>
      </c>
      <c r="J282" s="69"/>
      <c r="K282" s="37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</row>
    <row r="283" spans="1:227" s="6" customFormat="1">
      <c r="A283" s="79"/>
      <c r="B283" s="80"/>
      <c r="C283" s="71" t="s">
        <v>16</v>
      </c>
      <c r="D283" s="14">
        <f>SUM(D276:D282)</f>
        <v>85234.7</v>
      </c>
      <c r="E283" s="14">
        <f t="shared" ref="E283:H283" si="117">SUM(E276:E282)</f>
        <v>0</v>
      </c>
      <c r="F283" s="14">
        <f t="shared" si="117"/>
        <v>0</v>
      </c>
      <c r="G283" s="14">
        <f t="shared" si="117"/>
        <v>0</v>
      </c>
      <c r="H283" s="14">
        <f t="shared" si="117"/>
        <v>85234.7</v>
      </c>
      <c r="I283" s="14">
        <f>SUM(I276:I282)</f>
        <v>0</v>
      </c>
      <c r="J283" s="69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</row>
    <row r="284" spans="1:227" s="6" customFormat="1">
      <c r="A284" s="77" t="s">
        <v>44</v>
      </c>
      <c r="B284" s="80"/>
      <c r="C284" s="71">
        <v>2022</v>
      </c>
      <c r="D284" s="14">
        <f>SUM(E284:I284)</f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69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</row>
    <row r="285" spans="1:227" s="6" customFormat="1">
      <c r="A285" s="78"/>
      <c r="B285" s="80"/>
      <c r="C285" s="71">
        <v>2023</v>
      </c>
      <c r="D285" s="14">
        <f>SUM(E285:I285)</f>
        <v>702.9</v>
      </c>
      <c r="E285" s="14">
        <v>0</v>
      </c>
      <c r="F285" s="14">
        <v>0</v>
      </c>
      <c r="G285" s="14">
        <v>628.5</v>
      </c>
      <c r="H285" s="14">
        <v>74.400000000000006</v>
      </c>
      <c r="I285" s="14">
        <v>0</v>
      </c>
      <c r="J285" s="69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</row>
    <row r="286" spans="1:227" s="6" customFormat="1">
      <c r="A286" s="79"/>
      <c r="B286" s="80"/>
      <c r="C286" s="71" t="s">
        <v>16</v>
      </c>
      <c r="D286" s="14">
        <f t="shared" ref="D286:H286" si="118">SUM(D284:D285)</f>
        <v>702.9</v>
      </c>
      <c r="E286" s="14">
        <f t="shared" si="118"/>
        <v>0</v>
      </c>
      <c r="F286" s="14">
        <f t="shared" si="118"/>
        <v>0</v>
      </c>
      <c r="G286" s="14">
        <f t="shared" si="118"/>
        <v>628.5</v>
      </c>
      <c r="H286" s="14">
        <f t="shared" si="118"/>
        <v>74.400000000000006</v>
      </c>
      <c r="I286" s="14">
        <f>SUM(I284:I285)</f>
        <v>0</v>
      </c>
      <c r="J286" s="69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</row>
    <row r="287" spans="1:227" s="6" customFormat="1">
      <c r="A287" s="77" t="s">
        <v>93</v>
      </c>
      <c r="B287" s="80"/>
      <c r="C287" s="71">
        <v>2025</v>
      </c>
      <c r="D287" s="14">
        <f>SUM(E287:I287)</f>
        <v>42.4</v>
      </c>
      <c r="E287" s="14">
        <v>0</v>
      </c>
      <c r="F287" s="14">
        <v>0</v>
      </c>
      <c r="G287" s="14">
        <v>0</v>
      </c>
      <c r="H287" s="14">
        <v>42.4</v>
      </c>
      <c r="I287" s="14">
        <v>0</v>
      </c>
      <c r="J287" s="69"/>
      <c r="K287" s="37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</row>
    <row r="288" spans="1:227" s="6" customFormat="1">
      <c r="A288" s="78"/>
      <c r="B288" s="80"/>
      <c r="C288" s="71">
        <v>2026</v>
      </c>
      <c r="D288" s="14">
        <f t="shared" ref="D288" si="119">SUM(E288:I288)</f>
        <v>97.1</v>
      </c>
      <c r="E288" s="14">
        <v>0</v>
      </c>
      <c r="F288" s="14">
        <v>0</v>
      </c>
      <c r="G288" s="14">
        <v>0</v>
      </c>
      <c r="H288" s="14">
        <v>97.1</v>
      </c>
      <c r="I288" s="14">
        <v>0</v>
      </c>
      <c r="J288" s="69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</row>
    <row r="289" spans="1:227" s="6" customFormat="1">
      <c r="A289" s="78"/>
      <c r="B289" s="80"/>
      <c r="C289" s="71">
        <v>2027</v>
      </c>
      <c r="D289" s="14">
        <f>SUM(E289:I289)</f>
        <v>97.1</v>
      </c>
      <c r="E289" s="14">
        <v>0</v>
      </c>
      <c r="F289" s="14">
        <v>0</v>
      </c>
      <c r="G289" s="14">
        <v>0</v>
      </c>
      <c r="H289" s="14">
        <v>97.1</v>
      </c>
      <c r="I289" s="14">
        <v>0</v>
      </c>
      <c r="J289" s="69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</row>
    <row r="290" spans="1:227" s="6" customFormat="1">
      <c r="A290" s="79"/>
      <c r="B290" s="80"/>
      <c r="C290" s="71" t="s">
        <v>16</v>
      </c>
      <c r="D290" s="14">
        <f t="shared" ref="D290:H290" si="120">SUM(D287:D289)</f>
        <v>236.6</v>
      </c>
      <c r="E290" s="14">
        <f t="shared" si="120"/>
        <v>0</v>
      </c>
      <c r="F290" s="14">
        <f t="shared" si="120"/>
        <v>0</v>
      </c>
      <c r="G290" s="14">
        <f t="shared" si="120"/>
        <v>0</v>
      </c>
      <c r="H290" s="14">
        <f t="shared" si="120"/>
        <v>236.6</v>
      </c>
      <c r="I290" s="14">
        <f>SUM(I287:I289)</f>
        <v>0</v>
      </c>
      <c r="J290" s="69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</row>
    <row r="291" spans="1:227" s="6" customFormat="1">
      <c r="A291" s="73" t="s">
        <v>72</v>
      </c>
      <c r="B291" s="16"/>
      <c r="C291" s="17"/>
      <c r="D291" s="18"/>
      <c r="E291" s="19"/>
      <c r="F291" s="19"/>
      <c r="G291" s="19"/>
      <c r="H291" s="19"/>
      <c r="I291" s="20"/>
      <c r="J291" s="69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</row>
    <row r="292" spans="1:227" s="6" customFormat="1">
      <c r="A292" s="84" t="s">
        <v>16</v>
      </c>
      <c r="B292" s="83"/>
      <c r="C292" s="72">
        <v>2022</v>
      </c>
      <c r="D292" s="22">
        <f t="shared" ref="D292:I298" si="121">D300</f>
        <v>175.5</v>
      </c>
      <c r="E292" s="22">
        <f t="shared" si="121"/>
        <v>0</v>
      </c>
      <c r="F292" s="22">
        <f t="shared" si="121"/>
        <v>0</v>
      </c>
      <c r="G292" s="22">
        <f t="shared" si="121"/>
        <v>0</v>
      </c>
      <c r="H292" s="22">
        <f t="shared" si="121"/>
        <v>175.5</v>
      </c>
      <c r="I292" s="22">
        <f t="shared" si="121"/>
        <v>0</v>
      </c>
      <c r="J292" s="67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</row>
    <row r="293" spans="1:227" s="6" customFormat="1">
      <c r="A293" s="84"/>
      <c r="B293" s="83"/>
      <c r="C293" s="72">
        <v>2023</v>
      </c>
      <c r="D293" s="22">
        <f t="shared" si="121"/>
        <v>167</v>
      </c>
      <c r="E293" s="22">
        <f t="shared" si="121"/>
        <v>0</v>
      </c>
      <c r="F293" s="22">
        <f t="shared" si="121"/>
        <v>0</v>
      </c>
      <c r="G293" s="22">
        <f t="shared" si="121"/>
        <v>0</v>
      </c>
      <c r="H293" s="22">
        <f t="shared" si="121"/>
        <v>167</v>
      </c>
      <c r="I293" s="22">
        <f t="shared" si="121"/>
        <v>0</v>
      </c>
      <c r="J293" s="67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</row>
    <row r="294" spans="1:227" s="6" customFormat="1">
      <c r="A294" s="84"/>
      <c r="B294" s="83"/>
      <c r="C294" s="72">
        <v>2024</v>
      </c>
      <c r="D294" s="22">
        <f t="shared" si="121"/>
        <v>227</v>
      </c>
      <c r="E294" s="22">
        <f t="shared" si="121"/>
        <v>0</v>
      </c>
      <c r="F294" s="22">
        <f t="shared" si="121"/>
        <v>0</v>
      </c>
      <c r="G294" s="22">
        <f t="shared" si="121"/>
        <v>0</v>
      </c>
      <c r="H294" s="22">
        <f t="shared" si="121"/>
        <v>227</v>
      </c>
      <c r="I294" s="22">
        <f t="shared" si="121"/>
        <v>0</v>
      </c>
      <c r="J294" s="67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</row>
    <row r="295" spans="1:227" s="6" customFormat="1">
      <c r="A295" s="84"/>
      <c r="B295" s="83"/>
      <c r="C295" s="72">
        <v>2025</v>
      </c>
      <c r="D295" s="22">
        <f t="shared" si="121"/>
        <v>221.6</v>
      </c>
      <c r="E295" s="22">
        <f t="shared" si="121"/>
        <v>0</v>
      </c>
      <c r="F295" s="22">
        <f t="shared" si="121"/>
        <v>0</v>
      </c>
      <c r="G295" s="22">
        <f t="shared" si="121"/>
        <v>0</v>
      </c>
      <c r="H295" s="22">
        <f t="shared" si="121"/>
        <v>221.6</v>
      </c>
      <c r="I295" s="22">
        <f t="shared" si="121"/>
        <v>0</v>
      </c>
      <c r="J295" s="67"/>
      <c r="K295" s="36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</row>
    <row r="296" spans="1:227" s="6" customFormat="1">
      <c r="A296" s="84"/>
      <c r="B296" s="83"/>
      <c r="C296" s="72">
        <v>2026</v>
      </c>
      <c r="D296" s="22">
        <f t="shared" si="121"/>
        <v>261.3</v>
      </c>
      <c r="E296" s="22">
        <f t="shared" si="121"/>
        <v>0</v>
      </c>
      <c r="F296" s="22">
        <f t="shared" si="121"/>
        <v>0</v>
      </c>
      <c r="G296" s="22">
        <f t="shared" si="121"/>
        <v>0</v>
      </c>
      <c r="H296" s="22">
        <f t="shared" si="121"/>
        <v>261.3</v>
      </c>
      <c r="I296" s="22">
        <f t="shared" si="121"/>
        <v>0</v>
      </c>
      <c r="J296" s="67"/>
      <c r="K296" s="36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</row>
    <row r="297" spans="1:227" s="6" customFormat="1">
      <c r="A297" s="84"/>
      <c r="B297" s="83"/>
      <c r="C297" s="72">
        <v>2027</v>
      </c>
      <c r="D297" s="22">
        <f t="shared" si="121"/>
        <v>251.5</v>
      </c>
      <c r="E297" s="22">
        <f t="shared" si="121"/>
        <v>0</v>
      </c>
      <c r="F297" s="22">
        <f t="shared" si="121"/>
        <v>0</v>
      </c>
      <c r="G297" s="22">
        <f t="shared" si="121"/>
        <v>0</v>
      </c>
      <c r="H297" s="22">
        <f>H305</f>
        <v>251.5</v>
      </c>
      <c r="I297" s="22">
        <f>I305</f>
        <v>0</v>
      </c>
      <c r="J297" s="67"/>
      <c r="K297" s="36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</row>
    <row r="298" spans="1:227" s="6" customFormat="1">
      <c r="A298" s="84"/>
      <c r="B298" s="83"/>
      <c r="C298" s="72">
        <v>2028</v>
      </c>
      <c r="D298" s="22">
        <f>SUM(E298:I298)</f>
        <v>251.5</v>
      </c>
      <c r="E298" s="22">
        <f t="shared" si="121"/>
        <v>0</v>
      </c>
      <c r="F298" s="22">
        <f t="shared" si="121"/>
        <v>0</v>
      </c>
      <c r="G298" s="22">
        <f t="shared" si="121"/>
        <v>0</v>
      </c>
      <c r="H298" s="22">
        <f t="shared" si="121"/>
        <v>251.5</v>
      </c>
      <c r="I298" s="22">
        <f>I306</f>
        <v>0</v>
      </c>
      <c r="J298" s="67"/>
      <c r="K298" s="36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</row>
    <row r="299" spans="1:227" s="6" customFormat="1">
      <c r="A299" s="84"/>
      <c r="B299" s="83"/>
      <c r="C299" s="72" t="s">
        <v>16</v>
      </c>
      <c r="D299" s="22">
        <f>SUM(D292:D298)</f>
        <v>1555.4</v>
      </c>
      <c r="E299" s="22">
        <f>E307</f>
        <v>0</v>
      </c>
      <c r="F299" s="22">
        <f>F307</f>
        <v>0</v>
      </c>
      <c r="G299" s="22">
        <f>G307</f>
        <v>0</v>
      </c>
      <c r="H299" s="22">
        <f>H307</f>
        <v>1555.4</v>
      </c>
      <c r="I299" s="22">
        <f>I307</f>
        <v>0</v>
      </c>
      <c r="J299" s="67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</row>
    <row r="300" spans="1:227" s="6" customFormat="1">
      <c r="A300" s="77" t="s">
        <v>45</v>
      </c>
      <c r="B300" s="80"/>
      <c r="C300" s="71">
        <v>2022</v>
      </c>
      <c r="D300" s="21">
        <f t="shared" ref="D300:D305" si="122">SUM(E300:I300)</f>
        <v>175.5</v>
      </c>
      <c r="E300" s="14">
        <v>0</v>
      </c>
      <c r="F300" s="14">
        <v>0</v>
      </c>
      <c r="G300" s="14">
        <v>0</v>
      </c>
      <c r="H300" s="14">
        <v>175.5</v>
      </c>
      <c r="I300" s="14">
        <v>0</v>
      </c>
      <c r="J300" s="69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</row>
    <row r="301" spans="1:227" s="6" customFormat="1">
      <c r="A301" s="78"/>
      <c r="B301" s="80"/>
      <c r="C301" s="71">
        <v>2023</v>
      </c>
      <c r="D301" s="21">
        <f t="shared" si="122"/>
        <v>167</v>
      </c>
      <c r="E301" s="14">
        <v>0</v>
      </c>
      <c r="F301" s="14">
        <v>0</v>
      </c>
      <c r="G301" s="14">
        <v>0</v>
      </c>
      <c r="H301" s="14">
        <v>167</v>
      </c>
      <c r="I301" s="14">
        <v>0</v>
      </c>
      <c r="J301" s="69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</row>
    <row r="302" spans="1:227" s="6" customFormat="1">
      <c r="A302" s="78"/>
      <c r="B302" s="80"/>
      <c r="C302" s="71">
        <v>2024</v>
      </c>
      <c r="D302" s="21">
        <f t="shared" si="122"/>
        <v>227</v>
      </c>
      <c r="E302" s="14">
        <v>0</v>
      </c>
      <c r="F302" s="14">
        <v>0</v>
      </c>
      <c r="G302" s="14">
        <v>0</v>
      </c>
      <c r="H302" s="14">
        <v>227</v>
      </c>
      <c r="I302" s="14">
        <v>0</v>
      </c>
      <c r="J302" s="69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</row>
    <row r="303" spans="1:227" s="6" customFormat="1">
      <c r="A303" s="78"/>
      <c r="B303" s="80"/>
      <c r="C303" s="71">
        <v>2025</v>
      </c>
      <c r="D303" s="21">
        <f>SUM(E303:I303)</f>
        <v>221.6</v>
      </c>
      <c r="E303" s="14">
        <v>0</v>
      </c>
      <c r="F303" s="14">
        <v>0</v>
      </c>
      <c r="G303" s="14">
        <v>0</v>
      </c>
      <c r="H303" s="14">
        <v>221.6</v>
      </c>
      <c r="I303" s="14">
        <v>0</v>
      </c>
      <c r="J303" s="69"/>
      <c r="K303" s="37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</row>
    <row r="304" spans="1:227" s="6" customFormat="1">
      <c r="A304" s="78"/>
      <c r="B304" s="80"/>
      <c r="C304" s="71">
        <v>2026</v>
      </c>
      <c r="D304" s="21">
        <f t="shared" si="122"/>
        <v>261.3</v>
      </c>
      <c r="E304" s="14">
        <v>0</v>
      </c>
      <c r="F304" s="14">
        <v>0</v>
      </c>
      <c r="G304" s="14">
        <v>0</v>
      </c>
      <c r="H304" s="14">
        <f>251.5+9.8</f>
        <v>261.3</v>
      </c>
      <c r="I304" s="14">
        <v>0</v>
      </c>
      <c r="J304" s="59"/>
      <c r="K304" s="37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</row>
    <row r="305" spans="1:227" s="6" customFormat="1">
      <c r="A305" s="78"/>
      <c r="B305" s="80"/>
      <c r="C305" s="71">
        <v>2027</v>
      </c>
      <c r="D305" s="21">
        <f t="shared" si="122"/>
        <v>251.5</v>
      </c>
      <c r="E305" s="14">
        <v>0</v>
      </c>
      <c r="F305" s="14">
        <v>0</v>
      </c>
      <c r="G305" s="14">
        <v>0</v>
      </c>
      <c r="H305" s="14">
        <v>251.5</v>
      </c>
      <c r="I305" s="14">
        <v>0</v>
      </c>
      <c r="J305" s="69"/>
      <c r="K305" s="37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</row>
    <row r="306" spans="1:227" s="6" customFormat="1">
      <c r="A306" s="78"/>
      <c r="B306" s="80"/>
      <c r="C306" s="71">
        <v>2028</v>
      </c>
      <c r="D306" s="14">
        <f>SUM(E306:I306)</f>
        <v>251.5</v>
      </c>
      <c r="E306" s="14">
        <v>0</v>
      </c>
      <c r="F306" s="14">
        <v>0</v>
      </c>
      <c r="G306" s="14">
        <v>0</v>
      </c>
      <c r="H306" s="14">
        <v>251.5</v>
      </c>
      <c r="I306" s="14">
        <v>0</v>
      </c>
      <c r="J306" s="69"/>
      <c r="K306" s="37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</row>
    <row r="307" spans="1:227" s="6" customFormat="1">
      <c r="A307" s="79"/>
      <c r="B307" s="80"/>
      <c r="C307" s="71" t="s">
        <v>16</v>
      </c>
      <c r="D307" s="21">
        <f t="shared" ref="D307:H307" si="123">SUM(D300:D306)</f>
        <v>1555.4</v>
      </c>
      <c r="E307" s="21">
        <f t="shared" si="123"/>
        <v>0</v>
      </c>
      <c r="F307" s="21">
        <f t="shared" si="123"/>
        <v>0</v>
      </c>
      <c r="G307" s="21">
        <f t="shared" si="123"/>
        <v>0</v>
      </c>
      <c r="H307" s="21">
        <f t="shared" si="123"/>
        <v>1555.4</v>
      </c>
      <c r="I307" s="21">
        <f>SUM(I300:I306)</f>
        <v>0</v>
      </c>
      <c r="J307" s="69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</row>
    <row r="308" spans="1:227" s="6" customFormat="1">
      <c r="A308" s="73" t="s">
        <v>73</v>
      </c>
      <c r="B308" s="16"/>
      <c r="C308" s="17"/>
      <c r="D308" s="18"/>
      <c r="E308" s="19"/>
      <c r="F308" s="19"/>
      <c r="G308" s="19"/>
      <c r="H308" s="19"/>
      <c r="I308" s="20"/>
      <c r="J308" s="69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</row>
    <row r="309" spans="1:227" s="6" customFormat="1">
      <c r="A309" s="81" t="s">
        <v>16</v>
      </c>
      <c r="B309" s="83"/>
      <c r="C309" s="72">
        <v>2022</v>
      </c>
      <c r="D309" s="15">
        <f t="shared" ref="D309:I310" si="124">D315+D321+D324</f>
        <v>3669</v>
      </c>
      <c r="E309" s="15">
        <f t="shared" si="124"/>
        <v>132.1</v>
      </c>
      <c r="F309" s="15">
        <f t="shared" si="124"/>
        <v>1081.3</v>
      </c>
      <c r="G309" s="15">
        <f t="shared" si="124"/>
        <v>0</v>
      </c>
      <c r="H309" s="15">
        <f t="shared" si="124"/>
        <v>2455.6000000000004</v>
      </c>
      <c r="I309" s="15">
        <f t="shared" si="124"/>
        <v>0</v>
      </c>
      <c r="J309" s="67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</row>
    <row r="310" spans="1:227" s="6" customFormat="1">
      <c r="A310" s="85"/>
      <c r="B310" s="83"/>
      <c r="C310" s="72">
        <v>2023</v>
      </c>
      <c r="D310" s="15">
        <f t="shared" si="124"/>
        <v>3785.8</v>
      </c>
      <c r="E310" s="15">
        <f t="shared" si="124"/>
        <v>204.2</v>
      </c>
      <c r="F310" s="15">
        <f t="shared" si="124"/>
        <v>1274.4000000000001</v>
      </c>
      <c r="G310" s="15">
        <f t="shared" si="124"/>
        <v>0</v>
      </c>
      <c r="H310" s="15">
        <f t="shared" si="124"/>
        <v>2307.1999999999998</v>
      </c>
      <c r="I310" s="15">
        <f t="shared" si="124"/>
        <v>0</v>
      </c>
      <c r="J310" s="67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</row>
    <row r="311" spans="1:227" s="6" customFormat="1">
      <c r="A311" s="85"/>
      <c r="B311" s="83"/>
      <c r="C311" s="72">
        <v>2024</v>
      </c>
      <c r="D311" s="15">
        <f t="shared" ref="D311:I311" si="125">D317+D326+D328</f>
        <v>12583.6</v>
      </c>
      <c r="E311" s="15">
        <f t="shared" si="125"/>
        <v>0</v>
      </c>
      <c r="F311" s="15">
        <f t="shared" si="125"/>
        <v>0</v>
      </c>
      <c r="G311" s="15">
        <f t="shared" si="125"/>
        <v>5578</v>
      </c>
      <c r="H311" s="15">
        <f t="shared" si="125"/>
        <v>7005.6</v>
      </c>
      <c r="I311" s="15">
        <f t="shared" si="125"/>
        <v>0</v>
      </c>
      <c r="J311" s="67"/>
      <c r="L311" s="47"/>
      <c r="M311" s="3"/>
      <c r="N311" s="47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</row>
    <row r="312" spans="1:227" s="6" customFormat="1">
      <c r="A312" s="85"/>
      <c r="B312" s="83"/>
      <c r="C312" s="72">
        <v>2025</v>
      </c>
      <c r="D312" s="15">
        <f>SUM(E312:I312)</f>
        <v>13623.599999999999</v>
      </c>
      <c r="E312" s="15">
        <f>E318+E330+E332+E334</f>
        <v>0</v>
      </c>
      <c r="F312" s="15">
        <f>F318+F330+F332+F334</f>
        <v>0</v>
      </c>
      <c r="G312" s="15">
        <f>G318+G330+G332+G334</f>
        <v>13074.599999999999</v>
      </c>
      <c r="H312" s="15">
        <f>H318+H330+H332+H334</f>
        <v>549</v>
      </c>
      <c r="I312" s="15">
        <f>I318+I330+I332+I334</f>
        <v>0</v>
      </c>
      <c r="J312" s="67"/>
      <c r="K312" s="36"/>
      <c r="L312" s="44"/>
      <c r="M312" s="44"/>
      <c r="N312" s="44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</row>
    <row r="313" spans="1:227" s="6" customFormat="1">
      <c r="A313" s="85"/>
      <c r="B313" s="83"/>
      <c r="C313" s="72">
        <v>2026</v>
      </c>
      <c r="D313" s="15">
        <f>SUM(E313:I313)</f>
        <v>3172.4</v>
      </c>
      <c r="E313" s="15">
        <f t="shared" ref="E313:I313" si="126">E319</f>
        <v>0</v>
      </c>
      <c r="F313" s="15">
        <f t="shared" si="126"/>
        <v>0</v>
      </c>
      <c r="G313" s="15">
        <f t="shared" si="126"/>
        <v>0</v>
      </c>
      <c r="H313" s="15">
        <f>H319</f>
        <v>3172.4</v>
      </c>
      <c r="I313" s="15">
        <f t="shared" si="126"/>
        <v>0</v>
      </c>
      <c r="J313" s="67"/>
      <c r="K313" s="36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</row>
    <row r="314" spans="1:227" s="6" customFormat="1">
      <c r="A314" s="82"/>
      <c r="B314" s="83"/>
      <c r="C314" s="72" t="s">
        <v>16</v>
      </c>
      <c r="D314" s="15">
        <f t="shared" ref="D314:I314" si="127">SUM(D309:D313)</f>
        <v>36834.400000000001</v>
      </c>
      <c r="E314" s="15">
        <f t="shared" si="127"/>
        <v>336.29999999999995</v>
      </c>
      <c r="F314" s="15">
        <f t="shared" si="127"/>
        <v>2355.6999999999998</v>
      </c>
      <c r="G314" s="15">
        <f t="shared" si="127"/>
        <v>18652.599999999999</v>
      </c>
      <c r="H314" s="15">
        <f t="shared" si="127"/>
        <v>15489.800000000001</v>
      </c>
      <c r="I314" s="15">
        <f t="shared" si="127"/>
        <v>0</v>
      </c>
      <c r="J314" s="67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</row>
    <row r="315" spans="1:227" s="6" customFormat="1" ht="18.75" customHeight="1">
      <c r="A315" s="77" t="s">
        <v>46</v>
      </c>
      <c r="B315" s="80"/>
      <c r="C315" s="71">
        <v>2022</v>
      </c>
      <c r="D315" s="14">
        <f t="shared" ref="D315:D319" si="128">SUM(E315:I315)</f>
        <v>2364.3000000000002</v>
      </c>
      <c r="E315" s="14">
        <v>0</v>
      </c>
      <c r="F315" s="14">
        <v>0</v>
      </c>
      <c r="G315" s="14">
        <v>0</v>
      </c>
      <c r="H315" s="14">
        <v>2364.3000000000002</v>
      </c>
      <c r="I315" s="14">
        <v>0</v>
      </c>
      <c r="J315" s="69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</row>
    <row r="316" spans="1:227" s="6" customFormat="1">
      <c r="A316" s="78"/>
      <c r="B316" s="80"/>
      <c r="C316" s="71">
        <v>2023</v>
      </c>
      <c r="D316" s="14">
        <f t="shared" si="128"/>
        <v>630.70000000000005</v>
      </c>
      <c r="E316" s="14">
        <v>0</v>
      </c>
      <c r="F316" s="14">
        <v>0</v>
      </c>
      <c r="G316" s="14">
        <v>0</v>
      </c>
      <c r="H316" s="14">
        <v>630.70000000000005</v>
      </c>
      <c r="I316" s="14">
        <v>0</v>
      </c>
      <c r="J316" s="69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</row>
    <row r="317" spans="1:227" s="6" customFormat="1">
      <c r="A317" s="78"/>
      <c r="B317" s="80"/>
      <c r="C317" s="71">
        <v>2024</v>
      </c>
      <c r="D317" s="14">
        <f t="shared" si="128"/>
        <v>2865.6</v>
      </c>
      <c r="E317" s="14">
        <v>0</v>
      </c>
      <c r="F317" s="14">
        <v>0</v>
      </c>
      <c r="G317" s="14">
        <v>0</v>
      </c>
      <c r="H317" s="14">
        <v>2865.6</v>
      </c>
      <c r="I317" s="14">
        <v>0</v>
      </c>
      <c r="J317" s="69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</row>
    <row r="318" spans="1:227" s="6" customFormat="1">
      <c r="A318" s="78"/>
      <c r="B318" s="80"/>
      <c r="C318" s="71">
        <v>2025</v>
      </c>
      <c r="D318" s="14">
        <f t="shared" si="128"/>
        <v>397.9</v>
      </c>
      <c r="E318" s="14">
        <v>0</v>
      </c>
      <c r="F318" s="14">
        <v>0</v>
      </c>
      <c r="G318" s="14">
        <v>0</v>
      </c>
      <c r="H318" s="14">
        <f>628.4-17.3-52.7-160.5</f>
        <v>397.9</v>
      </c>
      <c r="I318" s="14">
        <v>0</v>
      </c>
      <c r="J318" s="69"/>
      <c r="K318" s="37"/>
      <c r="L318" s="42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</row>
    <row r="319" spans="1:227" s="6" customFormat="1">
      <c r="A319" s="78"/>
      <c r="B319" s="80"/>
      <c r="C319" s="71">
        <v>2026</v>
      </c>
      <c r="D319" s="14">
        <f t="shared" si="128"/>
        <v>3172.4</v>
      </c>
      <c r="E319" s="14">
        <v>0</v>
      </c>
      <c r="F319" s="14">
        <v>0</v>
      </c>
      <c r="G319" s="14">
        <v>0</v>
      </c>
      <c r="H319" s="14">
        <f>1457.8-671.2+2385.8</f>
        <v>3172.4</v>
      </c>
      <c r="I319" s="14">
        <v>0</v>
      </c>
      <c r="J319" s="69"/>
      <c r="K319" s="37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</row>
    <row r="320" spans="1:227" s="6" customFormat="1">
      <c r="A320" s="79"/>
      <c r="B320" s="80"/>
      <c r="C320" s="71" t="s">
        <v>16</v>
      </c>
      <c r="D320" s="14">
        <f t="shared" ref="D320:I320" si="129">SUM(D315:D319)</f>
        <v>9430.9</v>
      </c>
      <c r="E320" s="14">
        <f t="shared" si="129"/>
        <v>0</v>
      </c>
      <c r="F320" s="14">
        <f t="shared" si="129"/>
        <v>0</v>
      </c>
      <c r="G320" s="14">
        <f t="shared" si="129"/>
        <v>0</v>
      </c>
      <c r="H320" s="14">
        <f t="shared" si="129"/>
        <v>9430.9</v>
      </c>
      <c r="I320" s="14">
        <f t="shared" si="129"/>
        <v>0</v>
      </c>
      <c r="J320" s="69"/>
      <c r="K320" s="44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</row>
    <row r="321" spans="1:227" s="6" customFormat="1">
      <c r="A321" s="77" t="s">
        <v>66</v>
      </c>
      <c r="B321" s="80"/>
      <c r="C321" s="71">
        <v>2022</v>
      </c>
      <c r="D321" s="14">
        <f>SUM(E321:I321)</f>
        <v>1304.6999999999998</v>
      </c>
      <c r="E321" s="14">
        <v>132.1</v>
      </c>
      <c r="F321" s="14">
        <v>1081.3</v>
      </c>
      <c r="G321" s="14">
        <v>0</v>
      </c>
      <c r="H321" s="14">
        <v>91.3</v>
      </c>
      <c r="I321" s="14">
        <v>0</v>
      </c>
      <c r="J321" s="69"/>
      <c r="K321" s="44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</row>
    <row r="322" spans="1:227" s="6" customFormat="1">
      <c r="A322" s="78"/>
      <c r="B322" s="80"/>
      <c r="C322" s="71">
        <v>2023</v>
      </c>
      <c r="D322" s="14">
        <f>SUM(E322:I322)</f>
        <v>3122.1000000000004</v>
      </c>
      <c r="E322" s="14">
        <v>204.2</v>
      </c>
      <c r="F322" s="14">
        <v>1274.4000000000001</v>
      </c>
      <c r="G322" s="14">
        <v>0</v>
      </c>
      <c r="H322" s="14">
        <v>1643.5</v>
      </c>
      <c r="I322" s="14">
        <v>0</v>
      </c>
      <c r="J322" s="69"/>
      <c r="K322" s="44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</row>
    <row r="323" spans="1:227" s="6" customFormat="1">
      <c r="A323" s="79"/>
      <c r="B323" s="80"/>
      <c r="C323" s="71" t="s">
        <v>16</v>
      </c>
      <c r="D323" s="14">
        <f>SUM(D321:D322)</f>
        <v>4426.8</v>
      </c>
      <c r="E323" s="14">
        <f t="shared" ref="E323:I323" si="130">SUM(E321:E322)</f>
        <v>336.29999999999995</v>
      </c>
      <c r="F323" s="14">
        <f t="shared" si="130"/>
        <v>2355.6999999999998</v>
      </c>
      <c r="G323" s="14">
        <f t="shared" si="130"/>
        <v>0</v>
      </c>
      <c r="H323" s="14">
        <f t="shared" si="130"/>
        <v>1734.8</v>
      </c>
      <c r="I323" s="14">
        <f t="shared" si="130"/>
        <v>0</v>
      </c>
      <c r="J323" s="69"/>
      <c r="K323" s="44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</row>
    <row r="324" spans="1:227" s="6" customFormat="1" ht="18.75" customHeight="1">
      <c r="A324" s="77" t="s">
        <v>47</v>
      </c>
      <c r="B324" s="80"/>
      <c r="C324" s="71">
        <v>2022</v>
      </c>
      <c r="D324" s="14">
        <f>SUM(E324:I324)</f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69"/>
      <c r="K324" s="44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</row>
    <row r="325" spans="1:227" s="6" customFormat="1">
      <c r="A325" s="78"/>
      <c r="B325" s="80"/>
      <c r="C325" s="71">
        <v>2023</v>
      </c>
      <c r="D325" s="14">
        <f>SUM(E325:I325)</f>
        <v>33</v>
      </c>
      <c r="E325" s="14">
        <v>0</v>
      </c>
      <c r="F325" s="14">
        <v>0</v>
      </c>
      <c r="G325" s="14">
        <v>0</v>
      </c>
      <c r="H325" s="14">
        <v>33</v>
      </c>
      <c r="I325" s="14">
        <v>0</v>
      </c>
      <c r="J325" s="69"/>
      <c r="K325" s="44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</row>
    <row r="326" spans="1:227" s="6" customFormat="1">
      <c r="A326" s="78"/>
      <c r="B326" s="80"/>
      <c r="C326" s="71">
        <v>2024</v>
      </c>
      <c r="D326" s="14">
        <f>SUM(E326:I326)</f>
        <v>5578</v>
      </c>
      <c r="E326" s="14">
        <v>0</v>
      </c>
      <c r="F326" s="14">
        <v>0</v>
      </c>
      <c r="G326" s="14">
        <v>5578</v>
      </c>
      <c r="H326" s="14">
        <v>0</v>
      </c>
      <c r="I326" s="14">
        <v>0</v>
      </c>
      <c r="J326" s="69"/>
      <c r="K326" s="44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</row>
    <row r="327" spans="1:227" s="6" customFormat="1">
      <c r="A327" s="79"/>
      <c r="B327" s="80"/>
      <c r="C327" s="71" t="s">
        <v>16</v>
      </c>
      <c r="D327" s="14">
        <f t="shared" ref="D327:I327" si="131">SUM(D324:D326)</f>
        <v>5611</v>
      </c>
      <c r="E327" s="14">
        <f t="shared" si="131"/>
        <v>0</v>
      </c>
      <c r="F327" s="14">
        <f t="shared" si="131"/>
        <v>0</v>
      </c>
      <c r="G327" s="14">
        <f t="shared" si="131"/>
        <v>5578</v>
      </c>
      <c r="H327" s="14">
        <f t="shared" si="131"/>
        <v>33</v>
      </c>
      <c r="I327" s="14">
        <f t="shared" si="131"/>
        <v>0</v>
      </c>
      <c r="J327" s="69"/>
      <c r="K327" s="44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</row>
    <row r="328" spans="1:227" s="6" customFormat="1" ht="18" customHeight="1">
      <c r="A328" s="77" t="s">
        <v>24</v>
      </c>
      <c r="B328" s="86"/>
      <c r="C328" s="71">
        <v>2024</v>
      </c>
      <c r="D328" s="14">
        <f>SUM(E328:I328)</f>
        <v>4140</v>
      </c>
      <c r="E328" s="14">
        <v>0</v>
      </c>
      <c r="F328" s="14">
        <v>0</v>
      </c>
      <c r="G328" s="14">
        <v>0</v>
      </c>
      <c r="H328" s="14">
        <v>4140</v>
      </c>
      <c r="I328" s="14">
        <v>0</v>
      </c>
      <c r="J328" s="69"/>
      <c r="K328" s="44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</row>
    <row r="329" spans="1:227" s="6" customFormat="1" ht="22.5" customHeight="1">
      <c r="A329" s="79"/>
      <c r="B329" s="87"/>
      <c r="C329" s="71" t="s">
        <v>16</v>
      </c>
      <c r="D329" s="14">
        <f t="shared" ref="D329:H329" si="132">SUM(D328:D328)</f>
        <v>4140</v>
      </c>
      <c r="E329" s="14">
        <f t="shared" si="132"/>
        <v>0</v>
      </c>
      <c r="F329" s="14">
        <f t="shared" si="132"/>
        <v>0</v>
      </c>
      <c r="G329" s="14">
        <f t="shared" si="132"/>
        <v>0</v>
      </c>
      <c r="H329" s="14">
        <f t="shared" si="132"/>
        <v>4140</v>
      </c>
      <c r="I329" s="14">
        <f>I328</f>
        <v>0</v>
      </c>
      <c r="J329" s="69"/>
      <c r="K329" s="44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</row>
    <row r="330" spans="1:227" s="6" customFormat="1" ht="21.75" customHeight="1">
      <c r="A330" s="89" t="s">
        <v>84</v>
      </c>
      <c r="B330" s="91"/>
      <c r="C330" s="71">
        <v>2025</v>
      </c>
      <c r="D330" s="14">
        <f t="shared" ref="D330" si="133">SUM(E330:I330)</f>
        <v>1362.4</v>
      </c>
      <c r="E330" s="14">
        <v>0</v>
      </c>
      <c r="F330" s="14">
        <v>0</v>
      </c>
      <c r="G330" s="14">
        <f>1765.2-553.9</f>
        <v>1211.3000000000002</v>
      </c>
      <c r="H330" s="14">
        <f>153.5-2.4</f>
        <v>151.1</v>
      </c>
      <c r="I330" s="14">
        <v>0</v>
      </c>
      <c r="J330" s="69"/>
      <c r="K330" s="37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</row>
    <row r="331" spans="1:227" s="6" customFormat="1" ht="27" customHeight="1">
      <c r="A331" s="90"/>
      <c r="B331" s="92"/>
      <c r="C331" s="71" t="s">
        <v>16</v>
      </c>
      <c r="D331" s="14">
        <f t="shared" ref="D331:H331" si="134">D330</f>
        <v>1362.4</v>
      </c>
      <c r="E331" s="14">
        <f t="shared" si="134"/>
        <v>0</v>
      </c>
      <c r="F331" s="14">
        <f t="shared" si="134"/>
        <v>0</v>
      </c>
      <c r="G331" s="14">
        <f t="shared" si="134"/>
        <v>1211.3000000000002</v>
      </c>
      <c r="H331" s="14">
        <f t="shared" si="134"/>
        <v>151.1</v>
      </c>
      <c r="I331" s="14">
        <f>I330</f>
        <v>0</v>
      </c>
      <c r="J331" s="69"/>
      <c r="K331" s="44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</row>
    <row r="332" spans="1:227" s="6" customFormat="1" ht="30.75" customHeight="1">
      <c r="A332" s="89" t="s">
        <v>83</v>
      </c>
      <c r="B332" s="91"/>
      <c r="C332" s="71">
        <v>2025</v>
      </c>
      <c r="D332" s="14">
        <f t="shared" ref="D332" si="135">SUM(E332:I332)</f>
        <v>0</v>
      </c>
      <c r="E332" s="14">
        <v>0</v>
      </c>
      <c r="F332" s="14">
        <v>0</v>
      </c>
      <c r="G332" s="14">
        <f>799.4-799.4</f>
        <v>0</v>
      </c>
      <c r="H332" s="14">
        <v>0</v>
      </c>
      <c r="I332" s="14">
        <v>0</v>
      </c>
      <c r="J332" s="69"/>
      <c r="K332" s="44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</row>
    <row r="333" spans="1:227" s="6" customFormat="1" ht="37.5" customHeight="1">
      <c r="A333" s="90"/>
      <c r="B333" s="92"/>
      <c r="C333" s="71" t="s">
        <v>16</v>
      </c>
      <c r="D333" s="14">
        <f t="shared" ref="D333:H333" si="136">D332</f>
        <v>0</v>
      </c>
      <c r="E333" s="14">
        <f t="shared" si="136"/>
        <v>0</v>
      </c>
      <c r="F333" s="14">
        <f t="shared" si="136"/>
        <v>0</v>
      </c>
      <c r="G333" s="14">
        <f t="shared" si="136"/>
        <v>0</v>
      </c>
      <c r="H333" s="14">
        <f t="shared" si="136"/>
        <v>0</v>
      </c>
      <c r="I333" s="14">
        <f>I332</f>
        <v>0</v>
      </c>
      <c r="J333" s="69"/>
      <c r="K333" s="44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</row>
    <row r="334" spans="1:227" s="6" customFormat="1" ht="24.75" customHeight="1">
      <c r="A334" s="89" t="s">
        <v>89</v>
      </c>
      <c r="B334" s="91"/>
      <c r="C334" s="71">
        <v>2025</v>
      </c>
      <c r="D334" s="14">
        <f t="shared" ref="D334" si="137">SUM(E334:I334)</f>
        <v>11863.3</v>
      </c>
      <c r="E334" s="14">
        <v>0</v>
      </c>
      <c r="F334" s="14">
        <v>0</v>
      </c>
      <c r="G334" s="14">
        <f>0+11863.3</f>
        <v>11863.3</v>
      </c>
      <c r="H334" s="14">
        <v>0</v>
      </c>
      <c r="I334" s="14">
        <v>0</v>
      </c>
      <c r="J334" s="70"/>
      <c r="K334" s="40"/>
      <c r="L334" s="42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</row>
    <row r="335" spans="1:227" s="6" customFormat="1" ht="25.5" customHeight="1">
      <c r="A335" s="90"/>
      <c r="B335" s="92"/>
      <c r="C335" s="71" t="s">
        <v>16</v>
      </c>
      <c r="D335" s="14">
        <f t="shared" ref="D335:I335" si="138">SUM(D334:D334)</f>
        <v>11863.3</v>
      </c>
      <c r="E335" s="14">
        <f t="shared" si="138"/>
        <v>0</v>
      </c>
      <c r="F335" s="14">
        <f t="shared" si="138"/>
        <v>0</v>
      </c>
      <c r="G335" s="14">
        <f t="shared" si="138"/>
        <v>11863.3</v>
      </c>
      <c r="H335" s="14">
        <f t="shared" si="138"/>
        <v>0</v>
      </c>
      <c r="I335" s="14">
        <f t="shared" si="138"/>
        <v>0</v>
      </c>
      <c r="J335" s="69"/>
      <c r="K335" s="44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</row>
    <row r="336" spans="1:227" s="6" customFormat="1" ht="28.5" customHeight="1">
      <c r="A336" s="93" t="s">
        <v>74</v>
      </c>
      <c r="B336" s="94"/>
      <c r="C336" s="94"/>
      <c r="D336" s="94"/>
      <c r="E336" s="94"/>
      <c r="F336" s="94"/>
      <c r="G336" s="94"/>
      <c r="H336" s="94"/>
      <c r="I336" s="95"/>
      <c r="J336" s="39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</row>
    <row r="337" spans="1:227" s="6" customFormat="1">
      <c r="A337" s="81" t="s">
        <v>16</v>
      </c>
      <c r="B337" s="83"/>
      <c r="C337" s="72">
        <v>2022</v>
      </c>
      <c r="D337" s="15">
        <f t="shared" ref="D337:I338" si="139">D343</f>
        <v>1761.2</v>
      </c>
      <c r="E337" s="15">
        <f t="shared" si="139"/>
        <v>0</v>
      </c>
      <c r="F337" s="15">
        <f t="shared" si="139"/>
        <v>0</v>
      </c>
      <c r="G337" s="15">
        <f t="shared" si="139"/>
        <v>0</v>
      </c>
      <c r="H337" s="15">
        <f t="shared" si="139"/>
        <v>1761.2</v>
      </c>
      <c r="I337" s="15">
        <f t="shared" si="139"/>
        <v>0</v>
      </c>
      <c r="J337" s="67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</row>
    <row r="338" spans="1:227" s="6" customFormat="1">
      <c r="A338" s="85"/>
      <c r="B338" s="83"/>
      <c r="C338" s="72">
        <v>2023</v>
      </c>
      <c r="D338" s="15">
        <f t="shared" si="139"/>
        <v>0</v>
      </c>
      <c r="E338" s="15">
        <f t="shared" si="139"/>
        <v>0</v>
      </c>
      <c r="F338" s="15">
        <f t="shared" si="139"/>
        <v>0</v>
      </c>
      <c r="G338" s="15">
        <f t="shared" si="139"/>
        <v>0</v>
      </c>
      <c r="H338" s="15">
        <f t="shared" si="139"/>
        <v>0</v>
      </c>
      <c r="I338" s="15">
        <f t="shared" si="139"/>
        <v>0</v>
      </c>
      <c r="J338" s="67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</row>
    <row r="339" spans="1:227" s="6" customFormat="1">
      <c r="A339" s="85"/>
      <c r="B339" s="83"/>
      <c r="C339" s="72">
        <v>2024</v>
      </c>
      <c r="D339" s="15">
        <f t="shared" ref="D339:I341" si="140">D345+D349</f>
        <v>0</v>
      </c>
      <c r="E339" s="15">
        <f t="shared" si="140"/>
        <v>0</v>
      </c>
      <c r="F339" s="15">
        <f t="shared" si="140"/>
        <v>0</v>
      </c>
      <c r="G339" s="15">
        <f t="shared" si="140"/>
        <v>0</v>
      </c>
      <c r="H339" s="15">
        <f t="shared" si="140"/>
        <v>0</v>
      </c>
      <c r="I339" s="15">
        <f t="shared" si="140"/>
        <v>0</v>
      </c>
      <c r="J339" s="67"/>
      <c r="L339" s="47"/>
      <c r="M339" s="3"/>
      <c r="N339" s="47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</row>
    <row r="340" spans="1:227" s="6" customFormat="1">
      <c r="A340" s="85"/>
      <c r="B340" s="83"/>
      <c r="C340" s="72">
        <v>2025</v>
      </c>
      <c r="D340" s="15">
        <f>SUM(E340:I340)</f>
        <v>9218.5</v>
      </c>
      <c r="E340" s="15">
        <f t="shared" si="140"/>
        <v>0</v>
      </c>
      <c r="F340" s="15">
        <f t="shared" si="140"/>
        <v>0</v>
      </c>
      <c r="G340" s="15">
        <f t="shared" si="140"/>
        <v>2300</v>
      </c>
      <c r="H340" s="15">
        <f t="shared" si="140"/>
        <v>6918.5</v>
      </c>
      <c r="I340" s="15">
        <f t="shared" si="140"/>
        <v>0</v>
      </c>
      <c r="J340" s="67"/>
      <c r="K340" s="36"/>
      <c r="L340" s="44"/>
      <c r="M340" s="44"/>
      <c r="N340" s="44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</row>
    <row r="341" spans="1:227" s="6" customFormat="1">
      <c r="A341" s="85"/>
      <c r="B341" s="83"/>
      <c r="C341" s="72">
        <v>2026</v>
      </c>
      <c r="D341" s="15">
        <f>SUM(E341:I341)</f>
        <v>9136.6</v>
      </c>
      <c r="E341" s="15">
        <f t="shared" si="140"/>
        <v>0</v>
      </c>
      <c r="F341" s="15">
        <f t="shared" si="140"/>
        <v>0</v>
      </c>
      <c r="G341" s="15">
        <f t="shared" si="140"/>
        <v>2275</v>
      </c>
      <c r="H341" s="15">
        <f t="shared" si="140"/>
        <v>6861.6</v>
      </c>
      <c r="I341" s="15">
        <f t="shared" si="140"/>
        <v>0</v>
      </c>
      <c r="J341" s="67"/>
      <c r="K341" s="36"/>
      <c r="L341" s="44"/>
      <c r="M341" s="44"/>
      <c r="N341" s="44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</row>
    <row r="342" spans="1:227" s="6" customFormat="1">
      <c r="A342" s="82"/>
      <c r="B342" s="83"/>
      <c r="C342" s="72" t="s">
        <v>16</v>
      </c>
      <c r="D342" s="15">
        <f t="shared" ref="D342:H342" si="141">SUM(D337:D341)</f>
        <v>20116.300000000003</v>
      </c>
      <c r="E342" s="15">
        <f t="shared" si="141"/>
        <v>0</v>
      </c>
      <c r="F342" s="15">
        <f t="shared" si="141"/>
        <v>0</v>
      </c>
      <c r="G342" s="15">
        <f t="shared" si="141"/>
        <v>4575</v>
      </c>
      <c r="H342" s="15">
        <f t="shared" si="141"/>
        <v>15541.300000000001</v>
      </c>
      <c r="I342" s="15">
        <f>SUM(I337:I341)</f>
        <v>0</v>
      </c>
      <c r="J342" s="67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</row>
    <row r="343" spans="1:227" s="6" customFormat="1" ht="18.75" customHeight="1">
      <c r="A343" s="77" t="s">
        <v>55</v>
      </c>
      <c r="B343" s="80"/>
      <c r="C343" s="71">
        <v>2022</v>
      </c>
      <c r="D343" s="14">
        <f>SUM(E343:I343)</f>
        <v>1761.2</v>
      </c>
      <c r="E343" s="14">
        <v>0</v>
      </c>
      <c r="F343" s="14">
        <v>0</v>
      </c>
      <c r="G343" s="14">
        <v>0</v>
      </c>
      <c r="H343" s="14">
        <v>1761.2</v>
      </c>
      <c r="I343" s="14">
        <v>0</v>
      </c>
      <c r="J343" s="69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</row>
    <row r="344" spans="1:227" s="6" customFormat="1">
      <c r="A344" s="78"/>
      <c r="B344" s="80"/>
      <c r="C344" s="71">
        <v>2023</v>
      </c>
      <c r="D344" s="14">
        <f>SUM(E344:I344)</f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69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</row>
    <row r="345" spans="1:227" s="6" customFormat="1">
      <c r="A345" s="78"/>
      <c r="B345" s="80"/>
      <c r="C345" s="71">
        <v>2024</v>
      </c>
      <c r="D345" s="14">
        <f>SUM(E345:I345)</f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69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</row>
    <row r="346" spans="1:227" s="6" customFormat="1">
      <c r="A346" s="78"/>
      <c r="B346" s="80"/>
      <c r="C346" s="71">
        <v>2025</v>
      </c>
      <c r="D346" s="14">
        <f>SUM(E346:I346)</f>
        <v>2500</v>
      </c>
      <c r="E346" s="14">
        <v>0</v>
      </c>
      <c r="F346" s="14">
        <v>0</v>
      </c>
      <c r="G346" s="14">
        <v>2300</v>
      </c>
      <c r="H346" s="14">
        <v>200</v>
      </c>
      <c r="I346" s="14">
        <v>0</v>
      </c>
      <c r="J346" s="69"/>
      <c r="K346" s="37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</row>
    <row r="347" spans="1:227" s="6" customFormat="1">
      <c r="A347" s="78"/>
      <c r="B347" s="80"/>
      <c r="C347" s="71">
        <v>2026</v>
      </c>
      <c r="D347" s="14">
        <f>SUM(E347:I347)</f>
        <v>2500</v>
      </c>
      <c r="E347" s="14">
        <v>0</v>
      </c>
      <c r="F347" s="14">
        <v>0</v>
      </c>
      <c r="G347" s="14">
        <f>0+2275</f>
        <v>2275</v>
      </c>
      <c r="H347" s="14">
        <f>0+200+25</f>
        <v>225</v>
      </c>
      <c r="I347" s="14">
        <v>0</v>
      </c>
      <c r="J347" s="59"/>
      <c r="K347" s="37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</row>
    <row r="348" spans="1:227" s="6" customFormat="1">
      <c r="A348" s="79"/>
      <c r="B348" s="80"/>
      <c r="C348" s="71" t="s">
        <v>16</v>
      </c>
      <c r="D348" s="14">
        <f t="shared" ref="D348:H348" si="142">SUM(D343:D347)</f>
        <v>6761.2</v>
      </c>
      <c r="E348" s="14">
        <f t="shared" si="142"/>
        <v>0</v>
      </c>
      <c r="F348" s="14">
        <f t="shared" si="142"/>
        <v>0</v>
      </c>
      <c r="G348" s="14">
        <f t="shared" si="142"/>
        <v>4575</v>
      </c>
      <c r="H348" s="14">
        <f t="shared" si="142"/>
        <v>2186.1999999999998</v>
      </c>
      <c r="I348" s="14">
        <f>SUM(I343:I347)</f>
        <v>0</v>
      </c>
      <c r="J348" s="69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</row>
    <row r="349" spans="1:227" s="6" customFormat="1" ht="18" customHeight="1">
      <c r="A349" s="77" t="s">
        <v>20</v>
      </c>
      <c r="B349" s="86"/>
      <c r="C349" s="71">
        <v>2024</v>
      </c>
      <c r="D349" s="14">
        <f>SUM(E349:I349)</f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69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</row>
    <row r="350" spans="1:227" s="6" customFormat="1" ht="18" customHeight="1">
      <c r="A350" s="78"/>
      <c r="B350" s="88"/>
      <c r="C350" s="71">
        <v>2025</v>
      </c>
      <c r="D350" s="14">
        <f>SUM(E350:I350)</f>
        <v>6718.5</v>
      </c>
      <c r="E350" s="14">
        <v>0</v>
      </c>
      <c r="F350" s="14">
        <v>0</v>
      </c>
      <c r="G350" s="14">
        <v>0</v>
      </c>
      <c r="H350" s="14">
        <f>6300+418.5</f>
        <v>6718.5</v>
      </c>
      <c r="I350" s="14">
        <v>0</v>
      </c>
      <c r="J350" s="69"/>
      <c r="K350" s="37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</row>
    <row r="351" spans="1:227" s="6" customFormat="1" ht="18" customHeight="1">
      <c r="A351" s="78"/>
      <c r="B351" s="88"/>
      <c r="C351" s="71">
        <v>2026</v>
      </c>
      <c r="D351" s="14">
        <f>SUM(E351:I351)</f>
        <v>6636.6</v>
      </c>
      <c r="E351" s="14">
        <v>0</v>
      </c>
      <c r="F351" s="14">
        <v>0</v>
      </c>
      <c r="G351" s="14">
        <v>0</v>
      </c>
      <c r="H351" s="14">
        <f>0+6636.6</f>
        <v>6636.6</v>
      </c>
      <c r="I351" s="14">
        <v>0</v>
      </c>
      <c r="J351" s="69"/>
      <c r="K351" s="37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</row>
    <row r="352" spans="1:227" s="6" customFormat="1" ht="21" customHeight="1">
      <c r="A352" s="79"/>
      <c r="B352" s="87"/>
      <c r="C352" s="71" t="s">
        <v>16</v>
      </c>
      <c r="D352" s="14">
        <f t="shared" ref="D352:H352" si="143">SUM(D349:D351)</f>
        <v>13355.1</v>
      </c>
      <c r="E352" s="14">
        <f t="shared" si="143"/>
        <v>0</v>
      </c>
      <c r="F352" s="14">
        <f t="shared" si="143"/>
        <v>0</v>
      </c>
      <c r="G352" s="14">
        <f t="shared" si="143"/>
        <v>0</v>
      </c>
      <c r="H352" s="14">
        <f t="shared" si="143"/>
        <v>13355.1</v>
      </c>
      <c r="I352" s="14">
        <f>SUM(I349:I351)</f>
        <v>0</v>
      </c>
      <c r="J352" s="69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</row>
    <row r="353" spans="1:227" s="6" customFormat="1">
      <c r="A353" s="73" t="s">
        <v>75</v>
      </c>
      <c r="B353" s="16"/>
      <c r="C353" s="17"/>
      <c r="D353" s="18"/>
      <c r="E353" s="19"/>
      <c r="F353" s="19"/>
      <c r="G353" s="19"/>
      <c r="H353" s="19"/>
      <c r="I353" s="20"/>
      <c r="J353" s="69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</row>
    <row r="354" spans="1:227" s="6" customFormat="1">
      <c r="A354" s="81" t="s">
        <v>16</v>
      </c>
      <c r="B354" s="83"/>
      <c r="C354" s="72">
        <v>2022</v>
      </c>
      <c r="D354" s="15">
        <f t="shared" ref="D354:I355" si="144">D362+D370</f>
        <v>9386.1</v>
      </c>
      <c r="E354" s="15">
        <f t="shared" si="144"/>
        <v>0</v>
      </c>
      <c r="F354" s="15">
        <f t="shared" si="144"/>
        <v>0</v>
      </c>
      <c r="G354" s="15">
        <f t="shared" si="144"/>
        <v>0</v>
      </c>
      <c r="H354" s="15">
        <f t="shared" si="144"/>
        <v>9386.1</v>
      </c>
      <c r="I354" s="15">
        <f t="shared" si="144"/>
        <v>0</v>
      </c>
      <c r="J354" s="67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</row>
    <row r="355" spans="1:227" s="6" customFormat="1">
      <c r="A355" s="85"/>
      <c r="B355" s="83"/>
      <c r="C355" s="72">
        <v>2023</v>
      </c>
      <c r="D355" s="15">
        <f t="shared" si="144"/>
        <v>8491.5</v>
      </c>
      <c r="E355" s="15">
        <f t="shared" si="144"/>
        <v>0</v>
      </c>
      <c r="F355" s="15">
        <f t="shared" si="144"/>
        <v>0</v>
      </c>
      <c r="G355" s="15">
        <f t="shared" si="144"/>
        <v>0</v>
      </c>
      <c r="H355" s="15">
        <f t="shared" si="144"/>
        <v>8491.5</v>
      </c>
      <c r="I355" s="15">
        <f t="shared" si="144"/>
        <v>0</v>
      </c>
      <c r="J355" s="67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</row>
    <row r="356" spans="1:227" s="6" customFormat="1">
      <c r="A356" s="85"/>
      <c r="B356" s="83"/>
      <c r="C356" s="72">
        <v>2024</v>
      </c>
      <c r="D356" s="15">
        <f t="shared" ref="D356:I356" si="145">D364+D372+D378+D380</f>
        <v>5620.1</v>
      </c>
      <c r="E356" s="15">
        <f t="shared" si="145"/>
        <v>0</v>
      </c>
      <c r="F356" s="15">
        <f t="shared" si="145"/>
        <v>0</v>
      </c>
      <c r="G356" s="15">
        <f t="shared" si="145"/>
        <v>0</v>
      </c>
      <c r="H356" s="15">
        <f t="shared" si="145"/>
        <v>5620.1</v>
      </c>
      <c r="I356" s="15">
        <f t="shared" si="145"/>
        <v>0</v>
      </c>
      <c r="J356" s="67"/>
      <c r="L356" s="47"/>
      <c r="M356" s="3"/>
      <c r="N356" s="47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</row>
    <row r="357" spans="1:227" s="6" customFormat="1" ht="21" customHeight="1">
      <c r="A357" s="85"/>
      <c r="B357" s="83"/>
      <c r="C357" s="72">
        <v>2025</v>
      </c>
      <c r="D357" s="15">
        <f>SUM(E357:I357)</f>
        <v>48982</v>
      </c>
      <c r="E357" s="15">
        <f t="shared" ref="E357:I357" si="146">E365+E373+E382+E385</f>
        <v>0</v>
      </c>
      <c r="F357" s="15">
        <f t="shared" si="146"/>
        <v>0</v>
      </c>
      <c r="G357" s="15">
        <f t="shared" si="146"/>
        <v>40071.5</v>
      </c>
      <c r="H357" s="15">
        <f t="shared" si="146"/>
        <v>8910.5</v>
      </c>
      <c r="I357" s="15">
        <f t="shared" si="146"/>
        <v>0</v>
      </c>
      <c r="J357" s="67"/>
      <c r="K357" s="36"/>
      <c r="L357" s="44"/>
      <c r="N357" s="44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</row>
    <row r="358" spans="1:227" s="6" customFormat="1">
      <c r="A358" s="85"/>
      <c r="B358" s="83"/>
      <c r="C358" s="72">
        <v>2026</v>
      </c>
      <c r="D358" s="15">
        <f>SUM(E358:I358)</f>
        <v>46705</v>
      </c>
      <c r="E358" s="15">
        <f t="shared" ref="E358:H358" si="147">E366+E374+E383</f>
        <v>0</v>
      </c>
      <c r="F358" s="15">
        <f t="shared" si="147"/>
        <v>0</v>
      </c>
      <c r="G358" s="15">
        <f t="shared" si="147"/>
        <v>30045.699999999997</v>
      </c>
      <c r="H358" s="15">
        <f t="shared" si="147"/>
        <v>16659.3</v>
      </c>
      <c r="I358" s="15">
        <f>I366+I374+I383</f>
        <v>0</v>
      </c>
      <c r="J358" s="67"/>
      <c r="K358" s="36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</row>
    <row r="359" spans="1:227" s="6" customFormat="1">
      <c r="A359" s="85"/>
      <c r="B359" s="83"/>
      <c r="C359" s="72">
        <v>2027</v>
      </c>
      <c r="D359" s="15">
        <f>SUM(E359:I359)</f>
        <v>8308</v>
      </c>
      <c r="E359" s="15">
        <f t="shared" ref="E359:H359" si="148">E367+E375</f>
        <v>0</v>
      </c>
      <c r="F359" s="15">
        <f t="shared" si="148"/>
        <v>0</v>
      </c>
      <c r="G359" s="15">
        <f t="shared" si="148"/>
        <v>0</v>
      </c>
      <c r="H359" s="15">
        <f t="shared" si="148"/>
        <v>8308</v>
      </c>
      <c r="I359" s="15">
        <f>I367+I375</f>
        <v>0</v>
      </c>
      <c r="J359" s="67"/>
      <c r="K359" s="36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</row>
    <row r="360" spans="1:227" s="6" customFormat="1">
      <c r="A360" s="85"/>
      <c r="B360" s="83"/>
      <c r="C360" s="72">
        <v>2028</v>
      </c>
      <c r="D360" s="15">
        <f t="shared" ref="D360" si="149">D368</f>
        <v>5307.2</v>
      </c>
      <c r="E360" s="15">
        <f t="shared" ref="E360:H360" si="150">E368+E376</f>
        <v>0</v>
      </c>
      <c r="F360" s="15">
        <f t="shared" si="150"/>
        <v>0</v>
      </c>
      <c r="G360" s="15">
        <f t="shared" si="150"/>
        <v>0</v>
      </c>
      <c r="H360" s="15">
        <f t="shared" si="150"/>
        <v>5307.2</v>
      </c>
      <c r="I360" s="15">
        <f>I368+I376</f>
        <v>0</v>
      </c>
      <c r="J360" s="67"/>
      <c r="K360" s="36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</row>
    <row r="361" spans="1:227" s="6" customFormat="1">
      <c r="A361" s="82"/>
      <c r="B361" s="83"/>
      <c r="C361" s="72" t="s">
        <v>16</v>
      </c>
      <c r="D361" s="22">
        <f t="shared" ref="D361:H361" si="151">SUM(D354:D360)</f>
        <v>132799.9</v>
      </c>
      <c r="E361" s="22">
        <f t="shared" si="151"/>
        <v>0</v>
      </c>
      <c r="F361" s="22">
        <f t="shared" si="151"/>
        <v>0</v>
      </c>
      <c r="G361" s="22">
        <f t="shared" si="151"/>
        <v>70117.2</v>
      </c>
      <c r="H361" s="22">
        <f t="shared" si="151"/>
        <v>62682.7</v>
      </c>
      <c r="I361" s="22">
        <f>SUM(I354:I360)</f>
        <v>0</v>
      </c>
      <c r="J361" s="67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</row>
    <row r="362" spans="1:227" s="6" customFormat="1" ht="18.75" customHeight="1">
      <c r="A362" s="77" t="s">
        <v>48</v>
      </c>
      <c r="B362" s="80"/>
      <c r="C362" s="71">
        <v>2022</v>
      </c>
      <c r="D362" s="21">
        <f t="shared" ref="D362:D367" si="152">SUM(E362:I362)</f>
        <v>8188.1</v>
      </c>
      <c r="E362" s="14">
        <v>0</v>
      </c>
      <c r="F362" s="14">
        <v>0</v>
      </c>
      <c r="G362" s="14">
        <v>0</v>
      </c>
      <c r="H362" s="14">
        <v>8188.1</v>
      </c>
      <c r="I362" s="14">
        <v>0</v>
      </c>
      <c r="J362" s="69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</row>
    <row r="363" spans="1:227" s="6" customFormat="1">
      <c r="A363" s="78"/>
      <c r="B363" s="80"/>
      <c r="C363" s="71">
        <v>2023</v>
      </c>
      <c r="D363" s="21">
        <f t="shared" si="152"/>
        <v>7833.4</v>
      </c>
      <c r="E363" s="14">
        <v>0</v>
      </c>
      <c r="F363" s="14">
        <v>0</v>
      </c>
      <c r="G363" s="14">
        <v>0</v>
      </c>
      <c r="H363" s="14">
        <v>7833.4</v>
      </c>
      <c r="I363" s="14">
        <v>0</v>
      </c>
      <c r="J363" s="69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</row>
    <row r="364" spans="1:227" s="6" customFormat="1">
      <c r="A364" s="78"/>
      <c r="B364" s="80"/>
      <c r="C364" s="71">
        <v>2024</v>
      </c>
      <c r="D364" s="21">
        <f t="shared" si="152"/>
        <v>5000</v>
      </c>
      <c r="E364" s="14">
        <v>0</v>
      </c>
      <c r="F364" s="14">
        <v>0</v>
      </c>
      <c r="G364" s="14">
        <v>0</v>
      </c>
      <c r="H364" s="14">
        <v>5000</v>
      </c>
      <c r="I364" s="14">
        <v>0</v>
      </c>
      <c r="J364" s="69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</row>
    <row r="365" spans="1:227" s="6" customFormat="1">
      <c r="A365" s="78"/>
      <c r="B365" s="80"/>
      <c r="C365" s="71">
        <v>2025</v>
      </c>
      <c r="D365" s="21">
        <f t="shared" si="152"/>
        <v>5307.2</v>
      </c>
      <c r="E365" s="14">
        <v>0</v>
      </c>
      <c r="F365" s="14">
        <v>0</v>
      </c>
      <c r="G365" s="14">
        <v>0</v>
      </c>
      <c r="H365" s="14">
        <f>4903+404.2</f>
        <v>5307.2</v>
      </c>
      <c r="I365" s="14">
        <v>0</v>
      </c>
      <c r="J365" s="69"/>
      <c r="K365" s="37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</row>
    <row r="366" spans="1:227" s="6" customFormat="1">
      <c r="A366" s="78"/>
      <c r="B366" s="80"/>
      <c r="C366" s="71">
        <v>2026</v>
      </c>
      <c r="D366" s="21">
        <f t="shared" si="152"/>
        <v>13951.2</v>
      </c>
      <c r="E366" s="14">
        <v>0</v>
      </c>
      <c r="F366" s="14">
        <v>0</v>
      </c>
      <c r="G366" s="14">
        <v>0</v>
      </c>
      <c r="H366" s="14">
        <v>13951.2</v>
      </c>
      <c r="I366" s="14">
        <v>0</v>
      </c>
      <c r="J366" s="69"/>
      <c r="K366" s="37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</row>
    <row r="367" spans="1:227" s="6" customFormat="1">
      <c r="A367" s="78"/>
      <c r="B367" s="80"/>
      <c r="C367" s="71">
        <v>2027</v>
      </c>
      <c r="D367" s="21">
        <f t="shared" si="152"/>
        <v>5307.2</v>
      </c>
      <c r="E367" s="14">
        <v>0</v>
      </c>
      <c r="F367" s="14">
        <v>0</v>
      </c>
      <c r="G367" s="14">
        <v>0</v>
      </c>
      <c r="H367" s="14">
        <v>5307.2</v>
      </c>
      <c r="I367" s="14">
        <v>0</v>
      </c>
      <c r="J367" s="69"/>
      <c r="K367" s="37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</row>
    <row r="368" spans="1:227" s="6" customFormat="1">
      <c r="A368" s="78"/>
      <c r="B368" s="80"/>
      <c r="C368" s="71">
        <v>2028</v>
      </c>
      <c r="D368" s="14">
        <f>SUM(E368:I368)</f>
        <v>5307.2</v>
      </c>
      <c r="E368" s="14">
        <v>0</v>
      </c>
      <c r="F368" s="14">
        <v>0</v>
      </c>
      <c r="G368" s="14">
        <v>0</v>
      </c>
      <c r="H368" s="14">
        <v>5307.2</v>
      </c>
      <c r="I368" s="14">
        <v>0</v>
      </c>
      <c r="J368" s="69"/>
      <c r="K368" s="37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</row>
    <row r="369" spans="1:227" s="6" customFormat="1">
      <c r="A369" s="79"/>
      <c r="B369" s="80"/>
      <c r="C369" s="71" t="s">
        <v>16</v>
      </c>
      <c r="D369" s="21">
        <f>SUM(D362:D368)</f>
        <v>50894.299999999996</v>
      </c>
      <c r="E369" s="21">
        <f t="shared" ref="E369:H369" si="153">SUM(E362:E368)</f>
        <v>0</v>
      </c>
      <c r="F369" s="21">
        <f t="shared" si="153"/>
        <v>0</v>
      </c>
      <c r="G369" s="21">
        <f t="shared" si="153"/>
        <v>0</v>
      </c>
      <c r="H369" s="21">
        <f t="shared" si="153"/>
        <v>50894.299999999996</v>
      </c>
      <c r="I369" s="21">
        <f>SUM(I362:I368)</f>
        <v>0</v>
      </c>
      <c r="J369" s="69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</row>
    <row r="370" spans="1:227" s="6" customFormat="1" ht="18.75" customHeight="1">
      <c r="A370" s="77" t="s">
        <v>85</v>
      </c>
      <c r="B370" s="80"/>
      <c r="C370" s="71">
        <v>2022</v>
      </c>
      <c r="D370" s="21">
        <f>SUM(E370:I370)</f>
        <v>1198</v>
      </c>
      <c r="E370" s="14">
        <v>0</v>
      </c>
      <c r="F370" s="14">
        <v>0</v>
      </c>
      <c r="G370" s="14">
        <v>0</v>
      </c>
      <c r="H370" s="14">
        <v>1198</v>
      </c>
      <c r="I370" s="14">
        <v>0</v>
      </c>
      <c r="J370" s="69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</row>
    <row r="371" spans="1:227" s="6" customFormat="1">
      <c r="A371" s="78"/>
      <c r="B371" s="80"/>
      <c r="C371" s="71">
        <v>2023</v>
      </c>
      <c r="D371" s="21">
        <f>SUM(E371:I371)</f>
        <v>658.1</v>
      </c>
      <c r="E371" s="14">
        <v>0</v>
      </c>
      <c r="F371" s="14">
        <v>0</v>
      </c>
      <c r="G371" s="14">
        <v>0</v>
      </c>
      <c r="H371" s="14">
        <v>658.1</v>
      </c>
      <c r="I371" s="14">
        <v>0</v>
      </c>
      <c r="J371" s="69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</row>
    <row r="372" spans="1:227" s="6" customFormat="1">
      <c r="A372" s="78"/>
      <c r="B372" s="80"/>
      <c r="C372" s="71">
        <v>2024</v>
      </c>
      <c r="D372" s="21">
        <f>SUM(E372:I372)</f>
        <v>420</v>
      </c>
      <c r="E372" s="14">
        <v>0</v>
      </c>
      <c r="F372" s="14">
        <v>0</v>
      </c>
      <c r="G372" s="14">
        <v>0</v>
      </c>
      <c r="H372" s="14">
        <v>420</v>
      </c>
      <c r="I372" s="14">
        <v>0</v>
      </c>
      <c r="J372" s="69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</row>
    <row r="373" spans="1:227" s="6" customFormat="1">
      <c r="A373" s="78"/>
      <c r="B373" s="80"/>
      <c r="C373" s="71">
        <v>2025</v>
      </c>
      <c r="D373" s="21">
        <f t="shared" ref="D373:D376" si="154">SUM(E373:I373)</f>
        <v>118.7</v>
      </c>
      <c r="E373" s="14">
        <v>0</v>
      </c>
      <c r="F373" s="14">
        <v>0</v>
      </c>
      <c r="G373" s="14">
        <v>0</v>
      </c>
      <c r="H373" s="14">
        <v>118.7</v>
      </c>
      <c r="I373" s="14">
        <v>0</v>
      </c>
      <c r="J373" s="69"/>
      <c r="K373" s="37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</row>
    <row r="374" spans="1:227" s="6" customFormat="1">
      <c r="A374" s="78"/>
      <c r="B374" s="80"/>
      <c r="C374" s="71">
        <v>2026</v>
      </c>
      <c r="D374" s="21">
        <f t="shared" si="154"/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69"/>
      <c r="K374" s="37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</row>
    <row r="375" spans="1:227" s="6" customFormat="1">
      <c r="A375" s="78"/>
      <c r="B375" s="80"/>
      <c r="C375" s="71">
        <v>2027</v>
      </c>
      <c r="D375" s="21">
        <f t="shared" si="154"/>
        <v>3000.8</v>
      </c>
      <c r="E375" s="14">
        <v>0</v>
      </c>
      <c r="F375" s="14">
        <v>0</v>
      </c>
      <c r="G375" s="14">
        <v>0</v>
      </c>
      <c r="H375" s="14">
        <v>3000.8</v>
      </c>
      <c r="I375" s="14">
        <v>0</v>
      </c>
      <c r="J375" s="69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</row>
    <row r="376" spans="1:227" s="6" customFormat="1">
      <c r="A376" s="78"/>
      <c r="B376" s="80"/>
      <c r="C376" s="71">
        <v>2028</v>
      </c>
      <c r="D376" s="21">
        <f t="shared" si="154"/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69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</row>
    <row r="377" spans="1:227" s="6" customFormat="1">
      <c r="A377" s="79"/>
      <c r="B377" s="80"/>
      <c r="C377" s="71" t="s">
        <v>16</v>
      </c>
      <c r="D377" s="21">
        <f t="shared" ref="D377:H377" si="155">SUM(D370:D376)</f>
        <v>5395.6</v>
      </c>
      <c r="E377" s="21">
        <f t="shared" si="155"/>
        <v>0</v>
      </c>
      <c r="F377" s="21">
        <f t="shared" si="155"/>
        <v>0</v>
      </c>
      <c r="G377" s="21">
        <f t="shared" si="155"/>
        <v>0</v>
      </c>
      <c r="H377" s="21">
        <f t="shared" si="155"/>
        <v>5395.6</v>
      </c>
      <c r="I377" s="21">
        <f>SUM(I370:I376)</f>
        <v>0</v>
      </c>
      <c r="J377" s="69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</row>
    <row r="378" spans="1:227" s="6" customFormat="1" ht="18" customHeight="1">
      <c r="A378" s="77" t="s">
        <v>52</v>
      </c>
      <c r="B378" s="86"/>
      <c r="C378" s="71">
        <v>2024</v>
      </c>
      <c r="D378" s="14">
        <f>SUM(E378:I378)</f>
        <v>121</v>
      </c>
      <c r="E378" s="14">
        <v>0</v>
      </c>
      <c r="F378" s="14">
        <v>0</v>
      </c>
      <c r="G378" s="14">
        <v>0</v>
      </c>
      <c r="H378" s="14">
        <v>121</v>
      </c>
      <c r="I378" s="14">
        <v>0</v>
      </c>
      <c r="J378" s="69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</row>
    <row r="379" spans="1:227" s="6" customFormat="1" ht="23.25" customHeight="1">
      <c r="A379" s="79"/>
      <c r="B379" s="87"/>
      <c r="C379" s="71" t="s">
        <v>16</v>
      </c>
      <c r="D379" s="14">
        <f t="shared" ref="D379:I379" si="156">SUM(D378:D378)</f>
        <v>121</v>
      </c>
      <c r="E379" s="14">
        <f t="shared" si="156"/>
        <v>0</v>
      </c>
      <c r="F379" s="14">
        <f t="shared" si="156"/>
        <v>0</v>
      </c>
      <c r="G379" s="14">
        <f t="shared" si="156"/>
        <v>0</v>
      </c>
      <c r="H379" s="14">
        <f t="shared" si="156"/>
        <v>121</v>
      </c>
      <c r="I379" s="14">
        <f t="shared" si="156"/>
        <v>0</v>
      </c>
      <c r="J379" s="69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</row>
    <row r="380" spans="1:227" s="6" customFormat="1" ht="23.25" customHeight="1">
      <c r="A380" s="77" t="s">
        <v>0</v>
      </c>
      <c r="B380" s="86"/>
      <c r="C380" s="71">
        <v>2024</v>
      </c>
      <c r="D380" s="14">
        <f>SUM(E380:I380)</f>
        <v>79.099999999999994</v>
      </c>
      <c r="E380" s="14">
        <v>0</v>
      </c>
      <c r="F380" s="14">
        <v>0</v>
      </c>
      <c r="G380" s="14">
        <v>0</v>
      </c>
      <c r="H380" s="14">
        <v>79.099999999999994</v>
      </c>
      <c r="I380" s="14">
        <v>0</v>
      </c>
      <c r="J380" s="69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</row>
    <row r="381" spans="1:227" s="6" customFormat="1" ht="29.25" customHeight="1">
      <c r="A381" s="79"/>
      <c r="B381" s="87"/>
      <c r="C381" s="71" t="s">
        <v>16</v>
      </c>
      <c r="D381" s="14">
        <f t="shared" ref="D381:I381" si="157">SUM(D380:D380)</f>
        <v>79.099999999999994</v>
      </c>
      <c r="E381" s="14">
        <f t="shared" si="157"/>
        <v>0</v>
      </c>
      <c r="F381" s="14">
        <f t="shared" si="157"/>
        <v>0</v>
      </c>
      <c r="G381" s="14">
        <f t="shared" si="157"/>
        <v>0</v>
      </c>
      <c r="H381" s="14">
        <f t="shared" si="157"/>
        <v>79.099999999999994</v>
      </c>
      <c r="I381" s="14">
        <f t="shared" si="157"/>
        <v>0</v>
      </c>
      <c r="J381" s="69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</row>
    <row r="382" spans="1:227" s="6" customFormat="1" ht="18" customHeight="1">
      <c r="A382" s="77" t="s">
        <v>41</v>
      </c>
      <c r="B382" s="88"/>
      <c r="C382" s="71">
        <v>2025</v>
      </c>
      <c r="D382" s="14">
        <f>SUM(E382:I382)</f>
        <v>41856.1</v>
      </c>
      <c r="E382" s="14">
        <v>0</v>
      </c>
      <c r="F382" s="14">
        <v>0</v>
      </c>
      <c r="G382" s="14">
        <v>38507.5</v>
      </c>
      <c r="H382" s="14">
        <f>3348.5+0.1</f>
        <v>3348.6</v>
      </c>
      <c r="I382" s="14">
        <v>0</v>
      </c>
      <c r="J382" s="69"/>
      <c r="N382" s="37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</row>
    <row r="383" spans="1:227" s="6" customFormat="1" ht="18" customHeight="1">
      <c r="A383" s="78"/>
      <c r="B383" s="88"/>
      <c r="C383" s="71">
        <v>2026</v>
      </c>
      <c r="D383" s="14">
        <f>SUM(E383:I383)</f>
        <v>32753.799999999996</v>
      </c>
      <c r="E383" s="14">
        <v>0</v>
      </c>
      <c r="F383" s="14">
        <v>0</v>
      </c>
      <c r="G383" s="14">
        <f>6061.1+23984.6</f>
        <v>30045.699999999997</v>
      </c>
      <c r="H383" s="14">
        <f>599.5+2108.6</f>
        <v>2708.1</v>
      </c>
      <c r="I383" s="14">
        <v>0</v>
      </c>
      <c r="J383" s="59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</row>
    <row r="384" spans="1:227" s="6" customFormat="1" ht="18" customHeight="1">
      <c r="A384" s="79"/>
      <c r="B384" s="87"/>
      <c r="C384" s="71" t="s">
        <v>16</v>
      </c>
      <c r="D384" s="14">
        <f t="shared" ref="D384:I384" si="158">SUM(D382:D383)</f>
        <v>74609.899999999994</v>
      </c>
      <c r="E384" s="14">
        <f t="shared" si="158"/>
        <v>0</v>
      </c>
      <c r="F384" s="14">
        <f t="shared" si="158"/>
        <v>0</v>
      </c>
      <c r="G384" s="14">
        <f t="shared" si="158"/>
        <v>68553.2</v>
      </c>
      <c r="H384" s="14">
        <f t="shared" si="158"/>
        <v>6056.7</v>
      </c>
      <c r="I384" s="14">
        <f t="shared" si="158"/>
        <v>0</v>
      </c>
      <c r="J384" s="69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</row>
    <row r="385" spans="1:227" s="6" customFormat="1" ht="27.75" customHeight="1">
      <c r="A385" s="77" t="s">
        <v>84</v>
      </c>
      <c r="B385" s="88"/>
      <c r="C385" s="71">
        <v>2025</v>
      </c>
      <c r="D385" s="14">
        <f>SUM(E385:I385)</f>
        <v>1700</v>
      </c>
      <c r="E385" s="14">
        <v>0</v>
      </c>
      <c r="F385" s="14">
        <v>0</v>
      </c>
      <c r="G385" s="14">
        <f>3477.6-901.6-1012</f>
        <v>1564</v>
      </c>
      <c r="H385" s="14">
        <f>302.4-78.4-88</f>
        <v>135.99999999999997</v>
      </c>
      <c r="I385" s="14">
        <v>0</v>
      </c>
      <c r="J385" s="69"/>
      <c r="K385" s="37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</row>
    <row r="386" spans="1:227" s="6" customFormat="1" ht="30.75" customHeight="1">
      <c r="A386" s="79"/>
      <c r="B386" s="87"/>
      <c r="C386" s="71" t="s">
        <v>16</v>
      </c>
      <c r="D386" s="14">
        <f t="shared" ref="D386:I386" si="159">SUM(D385:D385)</f>
        <v>1700</v>
      </c>
      <c r="E386" s="14">
        <f t="shared" si="159"/>
        <v>0</v>
      </c>
      <c r="F386" s="14">
        <f t="shared" si="159"/>
        <v>0</v>
      </c>
      <c r="G386" s="14">
        <f t="shared" si="159"/>
        <v>1564</v>
      </c>
      <c r="H386" s="14">
        <f t="shared" si="159"/>
        <v>135.99999999999997</v>
      </c>
      <c r="I386" s="14">
        <f t="shared" si="159"/>
        <v>0</v>
      </c>
      <c r="J386" s="69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</row>
    <row r="387" spans="1:227" s="6" customFormat="1">
      <c r="A387" s="73" t="s">
        <v>76</v>
      </c>
      <c r="B387" s="16"/>
      <c r="C387" s="17"/>
      <c r="D387" s="18"/>
      <c r="E387" s="19"/>
      <c r="F387" s="19"/>
      <c r="G387" s="19"/>
      <c r="H387" s="19"/>
      <c r="I387" s="20"/>
      <c r="J387" s="69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</row>
    <row r="388" spans="1:227" s="6" customFormat="1">
      <c r="A388" s="81" t="s">
        <v>16</v>
      </c>
      <c r="B388" s="83"/>
      <c r="C388" s="72">
        <v>2022</v>
      </c>
      <c r="D388" s="15">
        <f>SUM(E388:I388)</f>
        <v>995.7</v>
      </c>
      <c r="E388" s="15">
        <f t="shared" ref="E388:I389" si="160">E392+E395+E399+E402</f>
        <v>0</v>
      </c>
      <c r="F388" s="15">
        <f t="shared" si="160"/>
        <v>0</v>
      </c>
      <c r="G388" s="15">
        <f t="shared" si="160"/>
        <v>995.7</v>
      </c>
      <c r="H388" s="15">
        <f t="shared" si="160"/>
        <v>0</v>
      </c>
      <c r="I388" s="15">
        <f t="shared" si="160"/>
        <v>0</v>
      </c>
      <c r="J388" s="67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</row>
    <row r="389" spans="1:227" s="6" customFormat="1">
      <c r="A389" s="85"/>
      <c r="B389" s="83"/>
      <c r="C389" s="72">
        <v>2023</v>
      </c>
      <c r="D389" s="15">
        <f t="shared" ref="D389:D390" si="161">SUM(E389:I389)</f>
        <v>1694.8</v>
      </c>
      <c r="E389" s="15">
        <f t="shared" si="160"/>
        <v>0</v>
      </c>
      <c r="F389" s="15">
        <f t="shared" si="160"/>
        <v>0</v>
      </c>
      <c r="G389" s="15">
        <f t="shared" si="160"/>
        <v>0</v>
      </c>
      <c r="H389" s="15">
        <f t="shared" si="160"/>
        <v>1694.8</v>
      </c>
      <c r="I389" s="15">
        <f t="shared" si="160"/>
        <v>0</v>
      </c>
      <c r="J389" s="67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</row>
    <row r="390" spans="1:227" s="6" customFormat="1">
      <c r="A390" s="85"/>
      <c r="B390" s="83"/>
      <c r="C390" s="72">
        <v>2025</v>
      </c>
      <c r="D390" s="15">
        <f t="shared" si="161"/>
        <v>830.7</v>
      </c>
      <c r="E390" s="15">
        <f t="shared" ref="E390:G390" si="162">E397</f>
        <v>0</v>
      </c>
      <c r="F390" s="15">
        <f t="shared" si="162"/>
        <v>0</v>
      </c>
      <c r="G390" s="15">
        <f t="shared" si="162"/>
        <v>0</v>
      </c>
      <c r="H390" s="15">
        <f>H397</f>
        <v>830.7</v>
      </c>
      <c r="I390" s="15">
        <f>I397</f>
        <v>0</v>
      </c>
      <c r="J390" s="67"/>
      <c r="K390" s="36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</row>
    <row r="391" spans="1:227" s="6" customFormat="1">
      <c r="A391" s="82"/>
      <c r="B391" s="83"/>
      <c r="C391" s="72" t="s">
        <v>16</v>
      </c>
      <c r="D391" s="15">
        <f t="shared" ref="D391:I391" si="163">SUM(D388:D390)</f>
        <v>3521.2</v>
      </c>
      <c r="E391" s="15">
        <f t="shared" si="163"/>
        <v>0</v>
      </c>
      <c r="F391" s="15">
        <f t="shared" si="163"/>
        <v>0</v>
      </c>
      <c r="G391" s="15">
        <f t="shared" si="163"/>
        <v>995.7</v>
      </c>
      <c r="H391" s="15">
        <f t="shared" si="163"/>
        <v>2525.5</v>
      </c>
      <c r="I391" s="15">
        <f t="shared" si="163"/>
        <v>0</v>
      </c>
      <c r="J391" s="67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</row>
    <row r="392" spans="1:227" s="6" customFormat="1">
      <c r="A392" s="77" t="s">
        <v>67</v>
      </c>
      <c r="B392" s="80"/>
      <c r="C392" s="71">
        <v>2022</v>
      </c>
      <c r="D392" s="14">
        <f>SUM(E392:I392)</f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69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</row>
    <row r="393" spans="1:227" s="6" customFormat="1">
      <c r="A393" s="78"/>
      <c r="B393" s="80"/>
      <c r="C393" s="71">
        <v>2023</v>
      </c>
      <c r="D393" s="14">
        <f>SUM(E393:I393)</f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69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</row>
    <row r="394" spans="1:227" s="6" customFormat="1">
      <c r="A394" s="79"/>
      <c r="B394" s="80"/>
      <c r="C394" s="71" t="s">
        <v>16</v>
      </c>
      <c r="D394" s="14">
        <f>SUM(D392:D393)</f>
        <v>0</v>
      </c>
      <c r="E394" s="14">
        <f t="shared" ref="E394:I394" si="164">SUM(E392:E393)</f>
        <v>0</v>
      </c>
      <c r="F394" s="14">
        <f t="shared" si="164"/>
        <v>0</v>
      </c>
      <c r="G394" s="14">
        <f t="shared" si="164"/>
        <v>0</v>
      </c>
      <c r="H394" s="14">
        <f t="shared" si="164"/>
        <v>0</v>
      </c>
      <c r="I394" s="14">
        <f t="shared" si="164"/>
        <v>0</v>
      </c>
      <c r="J394" s="69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</row>
    <row r="395" spans="1:227" s="6" customFormat="1" ht="18.75" customHeight="1">
      <c r="A395" s="77" t="s">
        <v>49</v>
      </c>
      <c r="B395" s="80"/>
      <c r="C395" s="71">
        <v>2022</v>
      </c>
      <c r="D395" s="14">
        <f>SUM(E395:I395)</f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69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</row>
    <row r="396" spans="1:227" s="6" customFormat="1">
      <c r="A396" s="78"/>
      <c r="B396" s="80"/>
      <c r="C396" s="71">
        <v>2023</v>
      </c>
      <c r="D396" s="14">
        <f>SUM(E396:I396)</f>
        <v>1694.8</v>
      </c>
      <c r="E396" s="14">
        <v>0</v>
      </c>
      <c r="F396" s="14">
        <v>0</v>
      </c>
      <c r="G396" s="14">
        <v>0</v>
      </c>
      <c r="H396" s="14">
        <f>967.3+727.5</f>
        <v>1694.8</v>
      </c>
      <c r="I396" s="14">
        <v>0</v>
      </c>
      <c r="J396" s="69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</row>
    <row r="397" spans="1:227" s="6" customFormat="1">
      <c r="A397" s="78"/>
      <c r="B397" s="80"/>
      <c r="C397" s="71">
        <v>2025</v>
      </c>
      <c r="D397" s="14">
        <f t="shared" ref="D397" si="165">SUM(E397:I397)</f>
        <v>830.7</v>
      </c>
      <c r="E397" s="14">
        <v>0</v>
      </c>
      <c r="F397" s="14">
        <v>0</v>
      </c>
      <c r="G397" s="14">
        <v>0</v>
      </c>
      <c r="H397" s="14">
        <f>572+258.7</f>
        <v>830.7</v>
      </c>
      <c r="I397" s="14">
        <v>0</v>
      </c>
      <c r="J397" s="69"/>
      <c r="K397" s="37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</row>
    <row r="398" spans="1:227" s="6" customFormat="1">
      <c r="A398" s="79"/>
      <c r="B398" s="80"/>
      <c r="C398" s="71" t="s">
        <v>16</v>
      </c>
      <c r="D398" s="14">
        <f t="shared" ref="D398:I398" si="166">SUM(D395:D397)</f>
        <v>2525.5</v>
      </c>
      <c r="E398" s="14">
        <f t="shared" si="166"/>
        <v>0</v>
      </c>
      <c r="F398" s="14">
        <f t="shared" si="166"/>
        <v>0</v>
      </c>
      <c r="G398" s="14">
        <f t="shared" si="166"/>
        <v>0</v>
      </c>
      <c r="H398" s="14">
        <f t="shared" si="166"/>
        <v>2525.5</v>
      </c>
      <c r="I398" s="14">
        <f t="shared" si="166"/>
        <v>0</v>
      </c>
      <c r="J398" s="69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</row>
    <row r="399" spans="1:227" s="6" customFormat="1">
      <c r="A399" s="77" t="s">
        <v>68</v>
      </c>
      <c r="B399" s="80"/>
      <c r="C399" s="71">
        <v>2022</v>
      </c>
      <c r="D399" s="14">
        <f>SUM(E399:I399)</f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69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</row>
    <row r="400" spans="1:227" s="6" customFormat="1">
      <c r="A400" s="78"/>
      <c r="B400" s="80"/>
      <c r="C400" s="71">
        <v>2023</v>
      </c>
      <c r="D400" s="14">
        <f>SUM(E400:I400)</f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69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</row>
    <row r="401" spans="1:227" s="6" customFormat="1">
      <c r="A401" s="79"/>
      <c r="B401" s="80"/>
      <c r="C401" s="71" t="s">
        <v>16</v>
      </c>
      <c r="D401" s="14">
        <f>SUM(D399:D400)</f>
        <v>0</v>
      </c>
      <c r="E401" s="14">
        <f t="shared" ref="E401:I401" si="167">SUM(E399:E400)</f>
        <v>0</v>
      </c>
      <c r="F401" s="14">
        <f t="shared" si="167"/>
        <v>0</v>
      </c>
      <c r="G401" s="14">
        <f t="shared" si="167"/>
        <v>0</v>
      </c>
      <c r="H401" s="14">
        <f t="shared" si="167"/>
        <v>0</v>
      </c>
      <c r="I401" s="14">
        <f t="shared" si="167"/>
        <v>0</v>
      </c>
      <c r="J401" s="69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</row>
    <row r="402" spans="1:227" s="6" customFormat="1" ht="18.75" customHeight="1">
      <c r="A402" s="77" t="s">
        <v>50</v>
      </c>
      <c r="B402" s="80"/>
      <c r="C402" s="71">
        <v>2022</v>
      </c>
      <c r="D402" s="14">
        <f>SUM(E402:I402)</f>
        <v>995.7</v>
      </c>
      <c r="E402" s="14">
        <v>0</v>
      </c>
      <c r="F402" s="14">
        <v>0</v>
      </c>
      <c r="G402" s="14">
        <v>995.7</v>
      </c>
      <c r="H402" s="14">
        <v>0</v>
      </c>
      <c r="I402" s="14">
        <v>0</v>
      </c>
      <c r="J402" s="69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</row>
    <row r="403" spans="1:227" s="6" customFormat="1">
      <c r="A403" s="78"/>
      <c r="B403" s="80"/>
      <c r="C403" s="71">
        <v>2023</v>
      </c>
      <c r="D403" s="14">
        <f>SUM(E403:I403)</f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69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</row>
    <row r="404" spans="1:227" s="6" customFormat="1" ht="21" customHeight="1">
      <c r="A404" s="79"/>
      <c r="B404" s="80"/>
      <c r="C404" s="71" t="s">
        <v>16</v>
      </c>
      <c r="D404" s="14">
        <f t="shared" ref="D404:I404" si="168">SUM(D402:D403)</f>
        <v>995.7</v>
      </c>
      <c r="E404" s="14">
        <f t="shared" si="168"/>
        <v>0</v>
      </c>
      <c r="F404" s="14">
        <f t="shared" si="168"/>
        <v>0</v>
      </c>
      <c r="G404" s="14">
        <f t="shared" si="168"/>
        <v>995.7</v>
      </c>
      <c r="H404" s="14">
        <f t="shared" si="168"/>
        <v>0</v>
      </c>
      <c r="I404" s="14">
        <f t="shared" si="168"/>
        <v>0</v>
      </c>
      <c r="J404" s="69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</row>
    <row r="405" spans="1:227" s="6" customFormat="1">
      <c r="A405" s="73" t="s">
        <v>77</v>
      </c>
      <c r="B405" s="16"/>
      <c r="C405" s="17"/>
      <c r="D405" s="18"/>
      <c r="E405" s="19"/>
      <c r="F405" s="19"/>
      <c r="G405" s="19"/>
      <c r="H405" s="19"/>
      <c r="I405" s="20"/>
      <c r="J405" s="69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</row>
    <row r="406" spans="1:227" s="6" customFormat="1">
      <c r="A406" s="84" t="s">
        <v>16</v>
      </c>
      <c r="B406" s="83"/>
      <c r="C406" s="72">
        <v>2022</v>
      </c>
      <c r="D406" s="15">
        <f t="shared" ref="D406:I412" si="169">D414</f>
        <v>41170.199999999997</v>
      </c>
      <c r="E406" s="15">
        <f t="shared" si="169"/>
        <v>0</v>
      </c>
      <c r="F406" s="15">
        <f t="shared" si="169"/>
        <v>0</v>
      </c>
      <c r="G406" s="15">
        <f t="shared" si="169"/>
        <v>0</v>
      </c>
      <c r="H406" s="15">
        <f t="shared" si="169"/>
        <v>41170.199999999997</v>
      </c>
      <c r="I406" s="15">
        <f t="shared" si="169"/>
        <v>0</v>
      </c>
      <c r="J406" s="67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</row>
    <row r="407" spans="1:227" s="6" customFormat="1">
      <c r="A407" s="84"/>
      <c r="B407" s="83"/>
      <c r="C407" s="72">
        <v>2023</v>
      </c>
      <c r="D407" s="15">
        <f t="shared" si="169"/>
        <v>43688.6</v>
      </c>
      <c r="E407" s="15">
        <f t="shared" si="169"/>
        <v>0</v>
      </c>
      <c r="F407" s="15">
        <f t="shared" si="169"/>
        <v>0</v>
      </c>
      <c r="G407" s="15">
        <f t="shared" si="169"/>
        <v>0</v>
      </c>
      <c r="H407" s="15">
        <f t="shared" si="169"/>
        <v>43688.6</v>
      </c>
      <c r="I407" s="15">
        <f t="shared" si="169"/>
        <v>0</v>
      </c>
      <c r="J407" s="67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</row>
    <row r="408" spans="1:227" s="6" customFormat="1">
      <c r="A408" s="84"/>
      <c r="B408" s="83"/>
      <c r="C408" s="72">
        <v>2024</v>
      </c>
      <c r="D408" s="15">
        <f t="shared" si="169"/>
        <v>49854.7</v>
      </c>
      <c r="E408" s="15">
        <f t="shared" si="169"/>
        <v>0</v>
      </c>
      <c r="F408" s="15">
        <f t="shared" si="169"/>
        <v>0</v>
      </c>
      <c r="G408" s="15">
        <f t="shared" si="169"/>
        <v>0</v>
      </c>
      <c r="H408" s="15">
        <f t="shared" si="169"/>
        <v>49854.7</v>
      </c>
      <c r="I408" s="15">
        <f t="shared" si="169"/>
        <v>0</v>
      </c>
      <c r="J408" s="67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</row>
    <row r="409" spans="1:227" s="6" customFormat="1">
      <c r="A409" s="84"/>
      <c r="B409" s="83"/>
      <c r="C409" s="72">
        <v>2025</v>
      </c>
      <c r="D409" s="15">
        <f t="shared" si="169"/>
        <v>61742.1</v>
      </c>
      <c r="E409" s="15">
        <f t="shared" si="169"/>
        <v>0</v>
      </c>
      <c r="F409" s="15">
        <f t="shared" si="169"/>
        <v>0</v>
      </c>
      <c r="G409" s="15">
        <f t="shared" si="169"/>
        <v>0</v>
      </c>
      <c r="H409" s="15">
        <f t="shared" si="169"/>
        <v>61742.1</v>
      </c>
      <c r="I409" s="15">
        <f t="shared" si="169"/>
        <v>0</v>
      </c>
      <c r="J409" s="67"/>
      <c r="K409" s="36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</row>
    <row r="410" spans="1:227" s="6" customFormat="1">
      <c r="A410" s="84"/>
      <c r="B410" s="83"/>
      <c r="C410" s="72">
        <v>2026</v>
      </c>
      <c r="D410" s="15">
        <f t="shared" si="169"/>
        <v>49864.500000000007</v>
      </c>
      <c r="E410" s="15">
        <f t="shared" si="169"/>
        <v>0</v>
      </c>
      <c r="F410" s="15">
        <f t="shared" si="169"/>
        <v>0</v>
      </c>
      <c r="G410" s="15">
        <f t="shared" si="169"/>
        <v>0</v>
      </c>
      <c r="H410" s="15">
        <f t="shared" si="169"/>
        <v>49864.500000000007</v>
      </c>
      <c r="I410" s="15">
        <f t="shared" si="169"/>
        <v>0</v>
      </c>
      <c r="J410" s="67"/>
      <c r="K410" s="36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</row>
    <row r="411" spans="1:227" s="6" customFormat="1">
      <c r="A411" s="84"/>
      <c r="B411" s="83"/>
      <c r="C411" s="72">
        <v>2027</v>
      </c>
      <c r="D411" s="15">
        <f t="shared" si="169"/>
        <v>44887.8</v>
      </c>
      <c r="E411" s="15">
        <f t="shared" si="169"/>
        <v>0</v>
      </c>
      <c r="F411" s="15">
        <f t="shared" si="169"/>
        <v>0</v>
      </c>
      <c r="G411" s="15">
        <f t="shared" si="169"/>
        <v>0</v>
      </c>
      <c r="H411" s="15">
        <f>H419</f>
        <v>44887.8</v>
      </c>
      <c r="I411" s="15">
        <f>I419</f>
        <v>0</v>
      </c>
      <c r="J411" s="67"/>
      <c r="K411" s="36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</row>
    <row r="412" spans="1:227" s="6" customFormat="1">
      <c r="A412" s="84"/>
      <c r="B412" s="83"/>
      <c r="C412" s="72">
        <v>2028</v>
      </c>
      <c r="D412" s="15">
        <f t="shared" si="169"/>
        <v>44892.800000000003</v>
      </c>
      <c r="E412" s="15">
        <f t="shared" si="169"/>
        <v>0</v>
      </c>
      <c r="F412" s="15">
        <f t="shared" si="169"/>
        <v>0</v>
      </c>
      <c r="G412" s="15">
        <f t="shared" si="169"/>
        <v>0</v>
      </c>
      <c r="H412" s="15">
        <f t="shared" si="169"/>
        <v>44892.800000000003</v>
      </c>
      <c r="I412" s="15">
        <f>I420</f>
        <v>0</v>
      </c>
      <c r="J412" s="67"/>
      <c r="K412" s="36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</row>
    <row r="413" spans="1:227" s="6" customFormat="1">
      <c r="A413" s="84"/>
      <c r="B413" s="83"/>
      <c r="C413" s="72" t="s">
        <v>16</v>
      </c>
      <c r="D413" s="15">
        <f t="shared" ref="D413:H413" si="170">SUM(D406:D412)</f>
        <v>336100.7</v>
      </c>
      <c r="E413" s="15">
        <f t="shared" si="170"/>
        <v>0</v>
      </c>
      <c r="F413" s="15">
        <f t="shared" si="170"/>
        <v>0</v>
      </c>
      <c r="G413" s="15">
        <f t="shared" si="170"/>
        <v>0</v>
      </c>
      <c r="H413" s="15">
        <f t="shared" si="170"/>
        <v>336100.7</v>
      </c>
      <c r="I413" s="15">
        <f>SUM(I406:I412)</f>
        <v>0</v>
      </c>
      <c r="J413" s="67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</row>
    <row r="414" spans="1:227" s="6" customFormat="1">
      <c r="A414" s="77" t="s">
        <v>51</v>
      </c>
      <c r="B414" s="80"/>
      <c r="C414" s="71">
        <v>2022</v>
      </c>
      <c r="D414" s="14">
        <f t="shared" ref="D414:D419" si="171">SUM(E414:I414)</f>
        <v>41170.199999999997</v>
      </c>
      <c r="E414" s="14">
        <v>0</v>
      </c>
      <c r="F414" s="14">
        <v>0</v>
      </c>
      <c r="G414" s="14">
        <v>0</v>
      </c>
      <c r="H414" s="14">
        <v>41170.199999999997</v>
      </c>
      <c r="I414" s="14">
        <v>0</v>
      </c>
      <c r="J414" s="69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</row>
    <row r="415" spans="1:227" s="6" customFormat="1">
      <c r="A415" s="78"/>
      <c r="B415" s="80"/>
      <c r="C415" s="71">
        <v>2023</v>
      </c>
      <c r="D415" s="14">
        <f t="shared" si="171"/>
        <v>43688.6</v>
      </c>
      <c r="E415" s="14">
        <v>0</v>
      </c>
      <c r="F415" s="14">
        <v>0</v>
      </c>
      <c r="G415" s="14">
        <v>0</v>
      </c>
      <c r="H415" s="14">
        <v>43688.6</v>
      </c>
      <c r="I415" s="14">
        <v>0</v>
      </c>
      <c r="J415" s="69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</row>
    <row r="416" spans="1:227" s="6" customFormat="1">
      <c r="A416" s="78"/>
      <c r="B416" s="80"/>
      <c r="C416" s="71">
        <v>2024</v>
      </c>
      <c r="D416" s="14">
        <f t="shared" si="171"/>
        <v>49854.7</v>
      </c>
      <c r="E416" s="14">
        <v>0</v>
      </c>
      <c r="F416" s="14">
        <v>0</v>
      </c>
      <c r="G416" s="14">
        <v>0</v>
      </c>
      <c r="H416" s="14">
        <v>49854.7</v>
      </c>
      <c r="I416" s="14">
        <v>0</v>
      </c>
      <c r="J416" s="69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</row>
    <row r="417" spans="1:227" s="6" customFormat="1">
      <c r="A417" s="78"/>
      <c r="B417" s="80"/>
      <c r="C417" s="71">
        <v>2025</v>
      </c>
      <c r="D417" s="14">
        <f t="shared" si="171"/>
        <v>61742.1</v>
      </c>
      <c r="E417" s="14">
        <v>0</v>
      </c>
      <c r="F417" s="14">
        <v>0</v>
      </c>
      <c r="G417" s="14">
        <v>0</v>
      </c>
      <c r="H417" s="14">
        <f>59914+1828.1</f>
        <v>61742.1</v>
      </c>
      <c r="I417" s="14">
        <v>0</v>
      </c>
      <c r="J417" s="69"/>
      <c r="K417" s="37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</row>
    <row r="418" spans="1:227" s="6" customFormat="1">
      <c r="A418" s="78"/>
      <c r="B418" s="80"/>
      <c r="C418" s="71">
        <v>2026</v>
      </c>
      <c r="D418" s="14">
        <f t="shared" si="171"/>
        <v>49864.500000000007</v>
      </c>
      <c r="E418" s="14">
        <v>0</v>
      </c>
      <c r="F418" s="14">
        <v>0</v>
      </c>
      <c r="G418" s="14">
        <v>0</v>
      </c>
      <c r="H418" s="14">
        <f>64889.4-15025.1+0.3-0.1</f>
        <v>49864.500000000007</v>
      </c>
      <c r="I418" s="14">
        <v>0</v>
      </c>
      <c r="J418" s="69"/>
      <c r="K418" s="37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</row>
    <row r="419" spans="1:227" s="6" customFormat="1">
      <c r="A419" s="78"/>
      <c r="B419" s="80"/>
      <c r="C419" s="71">
        <v>2027</v>
      </c>
      <c r="D419" s="14">
        <f t="shared" si="171"/>
        <v>44887.8</v>
      </c>
      <c r="E419" s="14">
        <v>0</v>
      </c>
      <c r="F419" s="14">
        <v>0</v>
      </c>
      <c r="G419" s="14">
        <v>0</v>
      </c>
      <c r="H419" s="14">
        <f>63354.5-18466.7</f>
        <v>44887.8</v>
      </c>
      <c r="I419" s="14">
        <v>0</v>
      </c>
      <c r="J419" s="69"/>
      <c r="K419" s="37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</row>
    <row r="420" spans="1:227" s="6" customFormat="1">
      <c r="A420" s="78"/>
      <c r="B420" s="80"/>
      <c r="C420" s="71">
        <v>2028</v>
      </c>
      <c r="D420" s="14">
        <f>SUM(E420:I420)</f>
        <v>44892.800000000003</v>
      </c>
      <c r="E420" s="14">
        <v>0</v>
      </c>
      <c r="F420" s="14">
        <v>0</v>
      </c>
      <c r="G420" s="14">
        <v>0</v>
      </c>
      <c r="H420" s="14">
        <f>63359.5-18466.7</f>
        <v>44892.800000000003</v>
      </c>
      <c r="I420" s="14">
        <v>0</v>
      </c>
      <c r="J420" s="69"/>
      <c r="K420" s="37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</row>
    <row r="421" spans="1:227" s="6" customFormat="1">
      <c r="A421" s="79"/>
      <c r="B421" s="80"/>
      <c r="C421" s="71" t="s">
        <v>16</v>
      </c>
      <c r="D421" s="14">
        <f t="shared" ref="D421:H421" si="172">SUM(D414:D420)</f>
        <v>336100.7</v>
      </c>
      <c r="E421" s="14">
        <f t="shared" si="172"/>
        <v>0</v>
      </c>
      <c r="F421" s="14">
        <f t="shared" si="172"/>
        <v>0</v>
      </c>
      <c r="G421" s="14">
        <f t="shared" si="172"/>
        <v>0</v>
      </c>
      <c r="H421" s="14">
        <f t="shared" si="172"/>
        <v>336100.7</v>
      </c>
      <c r="I421" s="14">
        <f>SUM(I414:I420)</f>
        <v>0</v>
      </c>
      <c r="J421" s="69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</row>
    <row r="422" spans="1:227" s="6" customFormat="1">
      <c r="A422" s="73" t="s">
        <v>98</v>
      </c>
      <c r="B422" s="16"/>
      <c r="C422" s="17"/>
      <c r="D422" s="18"/>
      <c r="E422" s="19"/>
      <c r="F422" s="19"/>
      <c r="G422" s="19"/>
      <c r="H422" s="19"/>
      <c r="I422" s="20"/>
      <c r="J422" s="69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</row>
    <row r="423" spans="1:227" s="6" customFormat="1" ht="19.5" customHeight="1">
      <c r="A423" s="81" t="s">
        <v>16</v>
      </c>
      <c r="B423" s="83"/>
      <c r="C423" s="72">
        <v>2027</v>
      </c>
      <c r="D423" s="15">
        <f t="shared" ref="D423:I423" si="173">D425</f>
        <v>6001.1</v>
      </c>
      <c r="E423" s="15">
        <f t="shared" si="173"/>
        <v>0</v>
      </c>
      <c r="F423" s="15">
        <f t="shared" si="173"/>
        <v>0</v>
      </c>
      <c r="G423" s="15">
        <f t="shared" si="173"/>
        <v>0</v>
      </c>
      <c r="H423" s="15">
        <f t="shared" si="173"/>
        <v>6001.1</v>
      </c>
      <c r="I423" s="15">
        <f t="shared" si="173"/>
        <v>0</v>
      </c>
      <c r="J423" s="67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</row>
    <row r="424" spans="1:227" s="6" customFormat="1" ht="28.5" customHeight="1">
      <c r="A424" s="82"/>
      <c r="B424" s="83"/>
      <c r="C424" s="72" t="s">
        <v>16</v>
      </c>
      <c r="D424" s="15">
        <f t="shared" ref="D424:I424" si="174">SUM(D423:D423)</f>
        <v>6001.1</v>
      </c>
      <c r="E424" s="15">
        <f t="shared" si="174"/>
        <v>0</v>
      </c>
      <c r="F424" s="15">
        <f t="shared" si="174"/>
        <v>0</v>
      </c>
      <c r="G424" s="15">
        <f t="shared" si="174"/>
        <v>0</v>
      </c>
      <c r="H424" s="15">
        <f t="shared" si="174"/>
        <v>6001.1</v>
      </c>
      <c r="I424" s="15">
        <f t="shared" si="174"/>
        <v>0</v>
      </c>
      <c r="J424" s="67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</row>
    <row r="425" spans="1:227" s="6" customFormat="1" ht="21.75" customHeight="1">
      <c r="A425" s="77" t="s">
        <v>94</v>
      </c>
      <c r="B425" s="80"/>
      <c r="C425" s="71">
        <v>2027</v>
      </c>
      <c r="D425" s="14">
        <f t="shared" ref="D425" si="175">SUM(E425:I425)</f>
        <v>6001.1</v>
      </c>
      <c r="E425" s="14">
        <v>0</v>
      </c>
      <c r="F425" s="14">
        <v>0</v>
      </c>
      <c r="G425" s="14">
        <v>0</v>
      </c>
      <c r="H425" s="14">
        <v>6001.1</v>
      </c>
      <c r="I425" s="14">
        <v>0</v>
      </c>
      <c r="J425" s="69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</row>
    <row r="426" spans="1:227" s="6" customFormat="1" ht="33.75" customHeight="1">
      <c r="A426" s="79"/>
      <c r="B426" s="80"/>
      <c r="C426" s="71" t="s">
        <v>16</v>
      </c>
      <c r="D426" s="14">
        <f t="shared" ref="D426:I426" si="176">SUM(D425:D425)</f>
        <v>6001.1</v>
      </c>
      <c r="E426" s="14">
        <f t="shared" si="176"/>
        <v>0</v>
      </c>
      <c r="F426" s="14">
        <f t="shared" si="176"/>
        <v>0</v>
      </c>
      <c r="G426" s="14">
        <f t="shared" si="176"/>
        <v>0</v>
      </c>
      <c r="H426" s="14">
        <f t="shared" si="176"/>
        <v>6001.1</v>
      </c>
      <c r="I426" s="14">
        <f t="shared" si="176"/>
        <v>0</v>
      </c>
      <c r="J426" s="69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</row>
  </sheetData>
  <mergeCells count="190">
    <mergeCell ref="G1:I1"/>
    <mergeCell ref="G2:I2"/>
    <mergeCell ref="G6:I6"/>
    <mergeCell ref="A11:A12"/>
    <mergeCell ref="B11:B12"/>
    <mergeCell ref="C11:C12"/>
    <mergeCell ref="D11:I11"/>
    <mergeCell ref="A39:A46"/>
    <mergeCell ref="B39:B46"/>
    <mergeCell ref="G5:I5"/>
    <mergeCell ref="A47:A54"/>
    <mergeCell ref="B47:B54"/>
    <mergeCell ref="A55:A59"/>
    <mergeCell ref="B55:B59"/>
    <mergeCell ref="A14:A21"/>
    <mergeCell ref="B14:B21"/>
    <mergeCell ref="A23:A30"/>
    <mergeCell ref="B23:B30"/>
    <mergeCell ref="A31:A38"/>
    <mergeCell ref="B31:B38"/>
    <mergeCell ref="A75:A77"/>
    <mergeCell ref="B75:B77"/>
    <mergeCell ref="A78:A80"/>
    <mergeCell ref="B78:B80"/>
    <mergeCell ref="A81:A83"/>
    <mergeCell ref="B81:B83"/>
    <mergeCell ref="A60:A64"/>
    <mergeCell ref="B60:B64"/>
    <mergeCell ref="A65:A69"/>
    <mergeCell ref="B65:B69"/>
    <mergeCell ref="A70:A74"/>
    <mergeCell ref="B70:B74"/>
    <mergeCell ref="A93:A95"/>
    <mergeCell ref="B93:B95"/>
    <mergeCell ref="A96:A98"/>
    <mergeCell ref="B96:B98"/>
    <mergeCell ref="A99:A101"/>
    <mergeCell ref="B99:B101"/>
    <mergeCell ref="A84:A86"/>
    <mergeCell ref="B84:B86"/>
    <mergeCell ref="A87:A89"/>
    <mergeCell ref="B87:B89"/>
    <mergeCell ref="A90:A92"/>
    <mergeCell ref="B90:B92"/>
    <mergeCell ref="A111:A113"/>
    <mergeCell ref="B111:B113"/>
    <mergeCell ref="A114:A116"/>
    <mergeCell ref="B114:B116"/>
    <mergeCell ref="A117:A119"/>
    <mergeCell ref="B117:B119"/>
    <mergeCell ref="A102:A104"/>
    <mergeCell ref="B102:B104"/>
    <mergeCell ref="A105:A107"/>
    <mergeCell ref="B105:B107"/>
    <mergeCell ref="A108:A110"/>
    <mergeCell ref="B108:B110"/>
    <mergeCell ref="A134:A138"/>
    <mergeCell ref="B134:B138"/>
    <mergeCell ref="A139:A141"/>
    <mergeCell ref="B139:B141"/>
    <mergeCell ref="A142:A144"/>
    <mergeCell ref="B142:B144"/>
    <mergeCell ref="A120:A122"/>
    <mergeCell ref="B120:B122"/>
    <mergeCell ref="A123:A128"/>
    <mergeCell ref="B123:B128"/>
    <mergeCell ref="A129:A133"/>
    <mergeCell ref="B129:B133"/>
    <mergeCell ref="A155:A157"/>
    <mergeCell ref="B155:B157"/>
    <mergeCell ref="A158:A160"/>
    <mergeCell ref="B158:B160"/>
    <mergeCell ref="A161:A163"/>
    <mergeCell ref="B161:B163"/>
    <mergeCell ref="A145:A148"/>
    <mergeCell ref="B145:B148"/>
    <mergeCell ref="A149:A151"/>
    <mergeCell ref="B149:B151"/>
    <mergeCell ref="A152:A154"/>
    <mergeCell ref="B152:B154"/>
    <mergeCell ref="A174:A175"/>
    <mergeCell ref="B174:B175"/>
    <mergeCell ref="A177:A184"/>
    <mergeCell ref="B177:B184"/>
    <mergeCell ref="A186:A193"/>
    <mergeCell ref="B186:B193"/>
    <mergeCell ref="A164:A167"/>
    <mergeCell ref="B164:B167"/>
    <mergeCell ref="A168:A171"/>
    <mergeCell ref="B168:B171"/>
    <mergeCell ref="A172:A173"/>
    <mergeCell ref="B172:B173"/>
    <mergeCell ref="A218:A221"/>
    <mergeCell ref="B218:B221"/>
    <mergeCell ref="A222:A229"/>
    <mergeCell ref="B222:B229"/>
    <mergeCell ref="A230:A235"/>
    <mergeCell ref="B230:B235"/>
    <mergeCell ref="A194:A201"/>
    <mergeCell ref="B194:B201"/>
    <mergeCell ref="A202:A209"/>
    <mergeCell ref="B202:B209"/>
    <mergeCell ref="A210:A217"/>
    <mergeCell ref="B210:B217"/>
    <mergeCell ref="A245:A247"/>
    <mergeCell ref="B245:B247"/>
    <mergeCell ref="A248:A250"/>
    <mergeCell ref="B248:B250"/>
    <mergeCell ref="A251:A256"/>
    <mergeCell ref="B251:B256"/>
    <mergeCell ref="A236:A238"/>
    <mergeCell ref="B236:B238"/>
    <mergeCell ref="A239:A241"/>
    <mergeCell ref="B239:B241"/>
    <mergeCell ref="A242:A244"/>
    <mergeCell ref="B242:B244"/>
    <mergeCell ref="A267:I267"/>
    <mergeCell ref="A268:A275"/>
    <mergeCell ref="B268:B275"/>
    <mergeCell ref="A276:A283"/>
    <mergeCell ref="B276:B283"/>
    <mergeCell ref="A284:A286"/>
    <mergeCell ref="B284:B286"/>
    <mergeCell ref="A257:A261"/>
    <mergeCell ref="B257:B261"/>
    <mergeCell ref="A262:A264"/>
    <mergeCell ref="B262:B264"/>
    <mergeCell ref="A265:A266"/>
    <mergeCell ref="B265:B266"/>
    <mergeCell ref="A309:A314"/>
    <mergeCell ref="B309:B314"/>
    <mergeCell ref="A315:A320"/>
    <mergeCell ref="B315:B320"/>
    <mergeCell ref="A321:A323"/>
    <mergeCell ref="B321:B323"/>
    <mergeCell ref="A287:A290"/>
    <mergeCell ref="B287:B290"/>
    <mergeCell ref="A292:A299"/>
    <mergeCell ref="B292:B299"/>
    <mergeCell ref="A300:A307"/>
    <mergeCell ref="B300:B307"/>
    <mergeCell ref="A332:A333"/>
    <mergeCell ref="B332:B333"/>
    <mergeCell ref="A334:A335"/>
    <mergeCell ref="B334:B335"/>
    <mergeCell ref="A336:I336"/>
    <mergeCell ref="A337:A342"/>
    <mergeCell ref="B337:B342"/>
    <mergeCell ref="A324:A327"/>
    <mergeCell ref="B324:B327"/>
    <mergeCell ref="A328:A329"/>
    <mergeCell ref="B328:B329"/>
    <mergeCell ref="A330:A331"/>
    <mergeCell ref="B330:B331"/>
    <mergeCell ref="A362:A369"/>
    <mergeCell ref="B362:B369"/>
    <mergeCell ref="A370:A377"/>
    <mergeCell ref="B370:B377"/>
    <mergeCell ref="A378:A379"/>
    <mergeCell ref="B378:B379"/>
    <mergeCell ref="A343:A348"/>
    <mergeCell ref="B343:B348"/>
    <mergeCell ref="A349:A352"/>
    <mergeCell ref="B349:B352"/>
    <mergeCell ref="A354:A361"/>
    <mergeCell ref="B354:B361"/>
    <mergeCell ref="A388:A391"/>
    <mergeCell ref="B388:B391"/>
    <mergeCell ref="A392:A394"/>
    <mergeCell ref="B392:B394"/>
    <mergeCell ref="A395:A398"/>
    <mergeCell ref="B395:B398"/>
    <mergeCell ref="A380:A381"/>
    <mergeCell ref="B380:B381"/>
    <mergeCell ref="A382:A384"/>
    <mergeCell ref="B382:B384"/>
    <mergeCell ref="A385:A386"/>
    <mergeCell ref="B385:B386"/>
    <mergeCell ref="A414:A421"/>
    <mergeCell ref="B414:B421"/>
    <mergeCell ref="A423:A424"/>
    <mergeCell ref="B423:B424"/>
    <mergeCell ref="A425:A426"/>
    <mergeCell ref="B425:B426"/>
    <mergeCell ref="A399:A401"/>
    <mergeCell ref="B399:B401"/>
    <mergeCell ref="A402:A404"/>
    <mergeCell ref="B402:B404"/>
    <mergeCell ref="A406:A413"/>
    <mergeCell ref="B406:B413"/>
  </mergeCells>
  <hyperlinks>
    <hyperlink ref="G2" location="sub_1000" display="sub_1000"/>
  </hyperlinks>
  <pageMargins left="0.70866141732283472" right="0.70866141732283472" top="0.94488188976377963" bottom="0.55118110236220474" header="0.31496062992125984" footer="0.31496062992125984"/>
  <pageSetup paperSize="9" scale="72" fitToHeight="0" orientation="landscape" r:id="rId1"/>
  <rowBreaks count="14" manualBreakCount="14">
    <brk id="21" max="8" man="1"/>
    <brk id="54" max="8" man="1"/>
    <brk id="89" max="8" man="1"/>
    <brk id="119" max="8" man="1"/>
    <brk id="144" max="8" man="1"/>
    <brk id="171" max="8" man="1"/>
    <brk id="201" max="8" man="1"/>
    <brk id="229" max="8" man="1"/>
    <brk id="250" max="8" man="1"/>
    <brk id="275" max="8" man="1"/>
    <brk id="307" max="8" man="1"/>
    <brk id="335" max="8" man="1"/>
    <brk id="369" max="8" man="1"/>
    <brk id="40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пост.2 (2)</vt:lpstr>
      <vt:lpstr>'Приложение к пост.2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2026-03-23T13:13:42Z</dcterms:modified>
</cp:coreProperties>
</file>